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Stichting Carmelcollege/Schoonmaak 2020/NvI/4e Nvi/"/>
    </mc:Choice>
  </mc:AlternateContent>
  <xr:revisionPtr revIDLastSave="87" documentId="8_{F1216D0D-454C-4318-9749-5597FB518ABB}" xr6:coauthVersionLast="47" xr6:coauthVersionMax="47" xr10:uidLastSave="{904A8663-DACF-4C08-ACBE-6B7E9ACFD4F7}"/>
  <bookViews>
    <workbookView xWindow="-120" yWindow="-120" windowWidth="29040" windowHeight="15990" tabRatio="750" activeTab="1" xr2:uid="{00000000-000D-0000-FFFF-FFFF00000000}"/>
  </bookViews>
  <sheets>
    <sheet name="Opleverstaat " sheetId="29" r:id="rId1"/>
    <sheet name="Werkprogramma dieptereiniging" sheetId="33" r:id="rId2"/>
    <sheet name="Tariefsopbouw" sheetId="31" r:id="rId3"/>
    <sheet name="Overnamegegevens" sheetId="28" r:id="rId4"/>
    <sheet name="Prestatiefactoren" sheetId="11" r:id="rId5"/>
    <sheet name="Ruimtestaat" sheetId="13" r:id="rId6"/>
    <sheet name="Glasbewassing" sheetId="22" r:id="rId7"/>
    <sheet name="Vloeronderhoud" sheetId="25" r:id="rId8"/>
    <sheet name="Extra werkzaamheden" sheetId="32" r:id="rId9"/>
    <sheet name="Regie en afroep" sheetId="24" r:id="rId10"/>
    <sheet name="Totalisatie" sheetId="19" r:id="rId11"/>
  </sheets>
  <externalReferences>
    <externalReference r:id="rId12"/>
    <externalReference r:id="rId13"/>
    <externalReference r:id="rId14"/>
  </externalReferences>
  <definedNames>
    <definedName name="_1F" localSheetId="0" hidden="1">[1]Psychiatrie!#REF!</definedName>
    <definedName name="_1F" localSheetId="2" hidden="1">[1]Psychiatrie!#REF!</definedName>
    <definedName name="_1F" localSheetId="7" hidden="1">[1]Psychiatrie!#REF!</definedName>
    <definedName name="_1F" hidden="1">[1]Psychiatrie!#REF!</definedName>
    <definedName name="_2_0_F" localSheetId="0" hidden="1">[1]Psychiatrie!#REF!</definedName>
    <definedName name="_2_0_F" localSheetId="7" hidden="1">[1]Psychiatrie!#REF!</definedName>
    <definedName name="_2_0_F" hidden="1">[1]Psychiatrie!#REF!</definedName>
    <definedName name="_Dist_Bin" localSheetId="0" hidden="1">#REF!</definedName>
    <definedName name="_Dist_Bin" localSheetId="2" hidden="1">#REF!</definedName>
    <definedName name="_Dist_Bin" localSheetId="7" hidden="1">#REF!</definedName>
    <definedName name="_Dist_Bin" hidden="1">#REF!</definedName>
    <definedName name="_Dist_Values" localSheetId="7" hidden="1">#REF!</definedName>
    <definedName name="_Dist_Values" hidden="1">#REF!</definedName>
    <definedName name="_Fill" localSheetId="7" hidden="1">'[2]#REF'!#REF!</definedName>
    <definedName name="_Fill" hidden="1">'[2]#REF'!#REF!</definedName>
    <definedName name="_xlnm._FilterDatabase" localSheetId="3" hidden="1">Overnamegegevens!$A$1:$S$1</definedName>
    <definedName name="_xlnm._FilterDatabase" localSheetId="10" hidden="1">Totalisatie!#REF!</definedName>
    <definedName name="_Key1" localSheetId="0" hidden="1">'[2]#REF'!#REF!</definedName>
    <definedName name="_Key1" localSheetId="7" hidden="1">'[2]#REF'!#REF!</definedName>
    <definedName name="_Key1" hidden="1">'[2]#REF'!#REF!</definedName>
    <definedName name="_Order1" hidden="1">255</definedName>
    <definedName name="_Sort" localSheetId="0" hidden="1">#REF!</definedName>
    <definedName name="_Sort" localSheetId="2" hidden="1">#REF!</definedName>
    <definedName name="_Sort" localSheetId="7" hidden="1">#REF!</definedName>
    <definedName name="_Sort" hidden="1">#REF!</definedName>
    <definedName name="_Table1_In1" localSheetId="7" hidden="1">#REF!</definedName>
    <definedName name="_Table1_In1" hidden="1">#REF!</definedName>
    <definedName name="_Table1_Out" localSheetId="7" hidden="1">#REF!</definedName>
    <definedName name="_Table1_Out" hidden="1">#REF!</definedName>
    <definedName name="AccessDatabase" hidden="1">"C:\data\excel\BASISWP.mdb"</definedName>
    <definedName name="_xlnm.Print_Area" localSheetId="6">Glasbewassing!$A$1:$I$68</definedName>
    <definedName name="_xlnm.Print_Area" localSheetId="4">Prestatiefactoren!$A$1:$F$56</definedName>
    <definedName name="_xlnm.Print_Area" localSheetId="9">'Regie en afroep'!$A$1:$I$39</definedName>
    <definedName name="_xlnm.Print_Area" localSheetId="5">'Ruimtestaat'!$A$1:$AG$921</definedName>
    <definedName name="_xlnm.Print_Area" localSheetId="2">Tariefsopbouw!$A$1:$Q$41</definedName>
    <definedName name="_xlnm.Print_Area" localSheetId="10">Totalisatie!$A$1:$H$34</definedName>
    <definedName name="_xlnm.Print_Area" localSheetId="7">Vloeronderhoud!$A$1:$I$56</definedName>
    <definedName name="_xlnm.Print_Area" localSheetId="1">'Werkprogramma dieptereiniging'!$A$1:$A$17</definedName>
    <definedName name="_xlnm.Print_Titles" localSheetId="5">'Ruimtestaat'!$2:$4</definedName>
    <definedName name="Glas" hidden="1">[3]Psychiatrie!#REF!</definedName>
    <definedName name="Invulglas1">Glasbewassing!$A$9:$I$24</definedName>
    <definedName name="Invulvloer1">Vloeronderhoud!$A$9:$I$16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0" i="19" l="1"/>
  <c r="I47" i="32"/>
  <c r="D47" i="32"/>
  <c r="B47" i="32"/>
  <c r="I46" i="32"/>
  <c r="D46" i="32"/>
  <c r="B46" i="32"/>
  <c r="I40" i="32" l="1"/>
  <c r="I48" i="32"/>
  <c r="I45" i="32"/>
  <c r="I44" i="32"/>
  <c r="I43" i="32"/>
  <c r="I42" i="32"/>
  <c r="I38" i="32"/>
  <c r="I37" i="32"/>
  <c r="I36" i="32"/>
  <c r="I34" i="32"/>
  <c r="I31" i="32"/>
  <c r="I30" i="32"/>
  <c r="I29" i="32"/>
  <c r="F19" i="19" s="1"/>
  <c r="D43" i="32"/>
  <c r="B43" i="32"/>
  <c r="D44" i="32"/>
  <c r="B44" i="32"/>
  <c r="B45" i="32"/>
  <c r="B48" i="32"/>
  <c r="D45" i="32"/>
  <c r="D48" i="32"/>
  <c r="F24" i="19" l="1"/>
  <c r="D31" i="32"/>
  <c r="B31" i="32"/>
  <c r="D40" i="32" l="1"/>
  <c r="B40" i="32"/>
  <c r="K5" i="13" l="1"/>
  <c r="K6" i="13"/>
  <c r="K7" i="13"/>
  <c r="K8" i="13"/>
  <c r="K9" i="13"/>
  <c r="K10" i="13"/>
  <c r="K11" i="13"/>
  <c r="K12" i="13"/>
  <c r="K13" i="13"/>
  <c r="K14" i="13"/>
  <c r="K15" i="13"/>
  <c r="K16" i="13"/>
  <c r="K17" i="13"/>
  <c r="K18" i="13"/>
  <c r="K19" i="13"/>
  <c r="K20" i="13"/>
  <c r="K21" i="13"/>
  <c r="K22" i="13"/>
  <c r="K23" i="13"/>
  <c r="K24" i="13"/>
  <c r="K25" i="13"/>
  <c r="K26" i="13"/>
  <c r="K27" i="13"/>
  <c r="K28" i="13"/>
  <c r="K29" i="13"/>
  <c r="K30" i="13"/>
  <c r="K31" i="13"/>
  <c r="K32" i="13"/>
  <c r="K33" i="13"/>
  <c r="K34" i="13"/>
  <c r="K35" i="13"/>
  <c r="K36" i="13"/>
  <c r="K37" i="13"/>
  <c r="K38" i="13"/>
  <c r="K39" i="13"/>
  <c r="K40" i="13"/>
  <c r="K41" i="13"/>
  <c r="K42" i="13"/>
  <c r="K43" i="13"/>
  <c r="K44" i="13"/>
  <c r="K45" i="13"/>
  <c r="K46" i="13"/>
  <c r="K47" i="13"/>
  <c r="K48" i="13"/>
  <c r="K49" i="13"/>
  <c r="K50" i="13"/>
  <c r="K51" i="13"/>
  <c r="K52" i="13"/>
  <c r="K53" i="13"/>
  <c r="K54" i="13"/>
  <c r="K55" i="13"/>
  <c r="K56" i="13"/>
  <c r="K57" i="13"/>
  <c r="K58" i="13"/>
  <c r="K59" i="13"/>
  <c r="K60" i="13"/>
  <c r="K61" i="13"/>
  <c r="K62" i="13"/>
  <c r="K63" i="13"/>
  <c r="K64" i="13"/>
  <c r="K65" i="13"/>
  <c r="K66" i="13"/>
  <c r="K67" i="13"/>
  <c r="K68" i="13"/>
  <c r="K69" i="13"/>
  <c r="K70" i="13"/>
  <c r="K71" i="13"/>
  <c r="K72" i="13"/>
  <c r="K73" i="13"/>
  <c r="K74" i="13"/>
  <c r="K75" i="13"/>
  <c r="K76" i="13"/>
  <c r="K77" i="13"/>
  <c r="K78" i="13"/>
  <c r="K79" i="13"/>
  <c r="K80" i="13"/>
  <c r="K81" i="13"/>
  <c r="K82" i="13"/>
  <c r="K83" i="13"/>
  <c r="K84" i="13"/>
  <c r="K85" i="13"/>
  <c r="K86" i="13"/>
  <c r="K87" i="13"/>
  <c r="K88" i="13"/>
  <c r="K89" i="13"/>
  <c r="K90" i="13"/>
  <c r="K91" i="13"/>
  <c r="K92" i="13"/>
  <c r="K93" i="13"/>
  <c r="K94" i="13"/>
  <c r="K95" i="13"/>
  <c r="K96" i="13"/>
  <c r="K97" i="13"/>
  <c r="K98" i="13"/>
  <c r="K99" i="13"/>
  <c r="K100" i="13"/>
  <c r="K101" i="13"/>
  <c r="K102" i="13"/>
  <c r="K103" i="13"/>
  <c r="K104" i="13"/>
  <c r="K105" i="13"/>
  <c r="K106" i="13"/>
  <c r="K107" i="13"/>
  <c r="K108" i="13"/>
  <c r="K109" i="13"/>
  <c r="K110" i="13"/>
  <c r="K111" i="13"/>
  <c r="K112" i="13"/>
  <c r="K113" i="13"/>
  <c r="K114" i="13"/>
  <c r="K115" i="13"/>
  <c r="K116" i="13"/>
  <c r="K117" i="13"/>
  <c r="K118" i="13"/>
  <c r="K119" i="13"/>
  <c r="K120" i="13"/>
  <c r="K121" i="13"/>
  <c r="K122" i="13"/>
  <c r="K123" i="13"/>
  <c r="K124" i="13"/>
  <c r="K125" i="13"/>
  <c r="K126" i="13"/>
  <c r="K127" i="13"/>
  <c r="K128" i="13"/>
  <c r="K129" i="13"/>
  <c r="K130" i="13"/>
  <c r="K131" i="13"/>
  <c r="K132" i="13"/>
  <c r="K133" i="13"/>
  <c r="K134" i="13"/>
  <c r="K135" i="13"/>
  <c r="K136" i="13"/>
  <c r="K137" i="13"/>
  <c r="K138" i="13"/>
  <c r="K139" i="13"/>
  <c r="K140" i="13"/>
  <c r="K141" i="13"/>
  <c r="K142" i="13"/>
  <c r="K143" i="13"/>
  <c r="K144" i="13"/>
  <c r="K145" i="13"/>
  <c r="K146" i="13"/>
  <c r="K147" i="13"/>
  <c r="K148" i="13"/>
  <c r="K149" i="13"/>
  <c r="K150" i="13"/>
  <c r="K151" i="13"/>
  <c r="K152" i="13"/>
  <c r="K153" i="13"/>
  <c r="K154" i="13"/>
  <c r="K155" i="13"/>
  <c r="K156" i="13"/>
  <c r="K157" i="13"/>
  <c r="K158" i="13"/>
  <c r="K159" i="13"/>
  <c r="K160" i="13"/>
  <c r="K161" i="13"/>
  <c r="K162" i="13"/>
  <c r="K163" i="13"/>
  <c r="K164" i="13"/>
  <c r="K165" i="13"/>
  <c r="K166" i="13"/>
  <c r="K167" i="13"/>
  <c r="K168" i="13"/>
  <c r="K169" i="13"/>
  <c r="K170" i="13"/>
  <c r="K171" i="13"/>
  <c r="K172" i="13"/>
  <c r="K173" i="13"/>
  <c r="K174" i="13"/>
  <c r="K175" i="13"/>
  <c r="K176" i="13"/>
  <c r="K177" i="13"/>
  <c r="K178" i="13"/>
  <c r="K179" i="13"/>
  <c r="K180" i="13"/>
  <c r="K181" i="13"/>
  <c r="K182" i="13"/>
  <c r="K183" i="13"/>
  <c r="K184" i="13"/>
  <c r="K185" i="13"/>
  <c r="K186" i="13"/>
  <c r="K187" i="13"/>
  <c r="K188" i="13"/>
  <c r="K189" i="13"/>
  <c r="K190" i="13"/>
  <c r="K191" i="13"/>
  <c r="K192" i="13"/>
  <c r="K193" i="13"/>
  <c r="K194" i="13"/>
  <c r="K195" i="13"/>
  <c r="K196" i="13"/>
  <c r="K197" i="13"/>
  <c r="K198" i="13"/>
  <c r="K199" i="13"/>
  <c r="K200" i="13"/>
  <c r="K201" i="13"/>
  <c r="K202" i="13"/>
  <c r="K203" i="13"/>
  <c r="K204" i="13"/>
  <c r="K205" i="13"/>
  <c r="K206" i="13"/>
  <c r="K207" i="13"/>
  <c r="K208" i="13"/>
  <c r="K209" i="13"/>
  <c r="K210" i="13"/>
  <c r="K211" i="13"/>
  <c r="K212" i="13"/>
  <c r="K213" i="13"/>
  <c r="K214" i="13"/>
  <c r="K215" i="13"/>
  <c r="K216" i="13"/>
  <c r="K217" i="13"/>
  <c r="K218" i="13"/>
  <c r="K219" i="13"/>
  <c r="K220" i="13"/>
  <c r="K221" i="13"/>
  <c r="K222" i="13"/>
  <c r="K223" i="13"/>
  <c r="K224" i="13"/>
  <c r="K225" i="13"/>
  <c r="K226" i="13"/>
  <c r="K227" i="13"/>
  <c r="K228" i="13"/>
  <c r="K229" i="13"/>
  <c r="K230" i="13"/>
  <c r="K231" i="13"/>
  <c r="K232" i="13"/>
  <c r="K233" i="13"/>
  <c r="K234" i="13"/>
  <c r="K235" i="13"/>
  <c r="K236" i="13"/>
  <c r="K237" i="13"/>
  <c r="K238" i="13"/>
  <c r="K239" i="13"/>
  <c r="K240" i="13"/>
  <c r="K241" i="13"/>
  <c r="K242" i="13"/>
  <c r="K243" i="13"/>
  <c r="K244" i="13"/>
  <c r="K245" i="13"/>
  <c r="K246" i="13"/>
  <c r="K247" i="13"/>
  <c r="K248" i="13"/>
  <c r="K249" i="13"/>
  <c r="K250" i="13"/>
  <c r="K251" i="13"/>
  <c r="K252" i="13"/>
  <c r="K253" i="13"/>
  <c r="K254" i="13"/>
  <c r="K255" i="13"/>
  <c r="K256" i="13"/>
  <c r="K257" i="13"/>
  <c r="K258" i="13"/>
  <c r="K259" i="13"/>
  <c r="K260" i="13"/>
  <c r="K261" i="13"/>
  <c r="K262" i="13"/>
  <c r="K263" i="13"/>
  <c r="K264" i="13"/>
  <c r="K265" i="13"/>
  <c r="K266" i="13"/>
  <c r="K267" i="13"/>
  <c r="K268" i="13"/>
  <c r="K269" i="13"/>
  <c r="K270" i="13"/>
  <c r="K271" i="13"/>
  <c r="K272" i="13"/>
  <c r="K273" i="13"/>
  <c r="K274" i="13"/>
  <c r="K275" i="13"/>
  <c r="K276" i="13"/>
  <c r="K277" i="13"/>
  <c r="K278" i="13"/>
  <c r="K279" i="13"/>
  <c r="K280" i="13"/>
  <c r="K281" i="13"/>
  <c r="K282" i="13"/>
  <c r="K283" i="13"/>
  <c r="K284" i="13"/>
  <c r="K285" i="13"/>
  <c r="K286" i="13"/>
  <c r="K287" i="13"/>
  <c r="K288" i="13"/>
  <c r="K289" i="13"/>
  <c r="K290" i="13"/>
  <c r="K291" i="13"/>
  <c r="K292" i="13"/>
  <c r="K293" i="13"/>
  <c r="K294" i="13"/>
  <c r="K295" i="13"/>
  <c r="K296" i="13"/>
  <c r="K297" i="13"/>
  <c r="K298" i="13"/>
  <c r="K299" i="13"/>
  <c r="K300" i="13"/>
  <c r="K301" i="13"/>
  <c r="K302" i="13"/>
  <c r="K303" i="13"/>
  <c r="K304" i="13"/>
  <c r="K305" i="13"/>
  <c r="K306" i="13"/>
  <c r="K307" i="13"/>
  <c r="K308" i="13"/>
  <c r="K309" i="13"/>
  <c r="K310" i="13"/>
  <c r="K311" i="13"/>
  <c r="K312" i="13"/>
  <c r="K313" i="13"/>
  <c r="K314" i="13"/>
  <c r="K315" i="13"/>
  <c r="K316" i="13"/>
  <c r="K317" i="13"/>
  <c r="K318" i="13"/>
  <c r="K319" i="13"/>
  <c r="K320" i="13"/>
  <c r="K321" i="13"/>
  <c r="K322" i="13"/>
  <c r="K323" i="13"/>
  <c r="K324" i="13"/>
  <c r="K325" i="13"/>
  <c r="K326" i="13"/>
  <c r="K327" i="13"/>
  <c r="K328" i="13"/>
  <c r="K329" i="13"/>
  <c r="K330" i="13"/>
  <c r="K331" i="13"/>
  <c r="K332" i="13"/>
  <c r="K333" i="13"/>
  <c r="K334" i="13"/>
  <c r="K335" i="13"/>
  <c r="K336" i="13"/>
  <c r="K337" i="13"/>
  <c r="K338" i="13"/>
  <c r="K339" i="13"/>
  <c r="K340" i="13"/>
  <c r="K341" i="13"/>
  <c r="K342" i="13"/>
  <c r="K343" i="13"/>
  <c r="K344" i="13"/>
  <c r="K345" i="13"/>
  <c r="K346" i="13"/>
  <c r="K347" i="13"/>
  <c r="K348" i="13"/>
  <c r="K349" i="13"/>
  <c r="K350" i="13"/>
  <c r="K351" i="13"/>
  <c r="K352" i="13"/>
  <c r="K353" i="13"/>
  <c r="K354" i="13"/>
  <c r="K355" i="13"/>
  <c r="K356" i="13"/>
  <c r="K357" i="13"/>
  <c r="K358" i="13"/>
  <c r="K359" i="13"/>
  <c r="K360" i="13"/>
  <c r="K361" i="13"/>
  <c r="K362" i="13"/>
  <c r="K363" i="13"/>
  <c r="K364" i="13"/>
  <c r="K365" i="13"/>
  <c r="K366" i="13"/>
  <c r="K367" i="13"/>
  <c r="K368" i="13"/>
  <c r="K369" i="13"/>
  <c r="K370" i="13"/>
  <c r="K371" i="13"/>
  <c r="K372" i="13"/>
  <c r="K373" i="13"/>
  <c r="K374" i="13"/>
  <c r="K375" i="13"/>
  <c r="K376" i="13"/>
  <c r="K377" i="13"/>
  <c r="K378" i="13"/>
  <c r="K379" i="13"/>
  <c r="K380" i="13"/>
  <c r="K381" i="13"/>
  <c r="K382" i="13"/>
  <c r="K383" i="13"/>
  <c r="K384" i="13"/>
  <c r="K385" i="13"/>
  <c r="K386" i="13"/>
  <c r="K387" i="13"/>
  <c r="K388" i="13"/>
  <c r="K389" i="13"/>
  <c r="K390" i="13"/>
  <c r="K391" i="13"/>
  <c r="K392" i="13"/>
  <c r="K393" i="13"/>
  <c r="K394" i="13"/>
  <c r="K395" i="13"/>
  <c r="K396" i="13"/>
  <c r="K397" i="13"/>
  <c r="K398" i="13"/>
  <c r="K399" i="13"/>
  <c r="K400" i="13"/>
  <c r="K401" i="13"/>
  <c r="K402" i="13"/>
  <c r="K403" i="13"/>
  <c r="K404" i="13"/>
  <c r="K405" i="13"/>
  <c r="K406" i="13"/>
  <c r="K407" i="13"/>
  <c r="K408" i="13"/>
  <c r="K409" i="13"/>
  <c r="K410" i="13"/>
  <c r="K411" i="13"/>
  <c r="K412" i="13"/>
  <c r="K413" i="13"/>
  <c r="K414" i="13"/>
  <c r="K415" i="13"/>
  <c r="K416" i="13"/>
  <c r="K417" i="13"/>
  <c r="K418" i="13"/>
  <c r="K419" i="13"/>
  <c r="K420" i="13"/>
  <c r="K421" i="13"/>
  <c r="K422" i="13"/>
  <c r="K423" i="13"/>
  <c r="K424" i="13"/>
  <c r="K425" i="13"/>
  <c r="K426" i="13"/>
  <c r="K427" i="13"/>
  <c r="K428" i="13"/>
  <c r="K429" i="13"/>
  <c r="K430" i="13"/>
  <c r="K431" i="13"/>
  <c r="K432" i="13"/>
  <c r="K433" i="13"/>
  <c r="K434" i="13"/>
  <c r="K435" i="13"/>
  <c r="K436" i="13"/>
  <c r="K437" i="13"/>
  <c r="K438" i="13"/>
  <c r="K439" i="13"/>
  <c r="K440" i="13"/>
  <c r="K441" i="13"/>
  <c r="K442" i="13"/>
  <c r="K443" i="13"/>
  <c r="K444" i="13"/>
  <c r="K445" i="13"/>
  <c r="K446" i="13"/>
  <c r="K447" i="13"/>
  <c r="K448" i="13"/>
  <c r="K449" i="13"/>
  <c r="K450" i="13"/>
  <c r="K451" i="13"/>
  <c r="K452" i="13"/>
  <c r="K453" i="13"/>
  <c r="K454" i="13"/>
  <c r="K455" i="13"/>
  <c r="K456" i="13"/>
  <c r="K457" i="13"/>
  <c r="K458" i="13"/>
  <c r="K459" i="13"/>
  <c r="K460" i="13"/>
  <c r="K461" i="13"/>
  <c r="K462" i="13"/>
  <c r="K463" i="13"/>
  <c r="K464" i="13"/>
  <c r="K465" i="13"/>
  <c r="K466" i="13"/>
  <c r="K467" i="13"/>
  <c r="K468" i="13"/>
  <c r="K469" i="13"/>
  <c r="K470" i="13"/>
  <c r="K471" i="13"/>
  <c r="K472" i="13"/>
  <c r="K473" i="13"/>
  <c r="K474" i="13"/>
  <c r="K475" i="13"/>
  <c r="K476" i="13"/>
  <c r="K477" i="13"/>
  <c r="K478" i="13"/>
  <c r="K479" i="13"/>
  <c r="K480" i="13"/>
  <c r="K481" i="13"/>
  <c r="K482" i="13"/>
  <c r="K483" i="13"/>
  <c r="K484" i="13"/>
  <c r="K485" i="13"/>
  <c r="K486" i="13"/>
  <c r="K487" i="13"/>
  <c r="K488" i="13"/>
  <c r="K489" i="13"/>
  <c r="K490" i="13"/>
  <c r="K491" i="13"/>
  <c r="K492" i="13"/>
  <c r="K493" i="13"/>
  <c r="K494" i="13"/>
  <c r="K495" i="13"/>
  <c r="K496" i="13"/>
  <c r="K497" i="13"/>
  <c r="K498" i="13"/>
  <c r="K499" i="13"/>
  <c r="K500" i="13"/>
  <c r="K501" i="13"/>
  <c r="K502" i="13"/>
  <c r="K503" i="13"/>
  <c r="K504" i="13"/>
  <c r="K505" i="13"/>
  <c r="K506" i="13"/>
  <c r="K507" i="13"/>
  <c r="K508" i="13"/>
  <c r="K509" i="13"/>
  <c r="K510" i="13"/>
  <c r="K511" i="13"/>
  <c r="K512" i="13"/>
  <c r="K513" i="13"/>
  <c r="K514" i="13"/>
  <c r="K515" i="13"/>
  <c r="K516" i="13"/>
  <c r="K517" i="13"/>
  <c r="K518" i="13"/>
  <c r="K519" i="13"/>
  <c r="K520" i="13"/>
  <c r="K521" i="13"/>
  <c r="K522" i="13"/>
  <c r="K523" i="13"/>
  <c r="K524" i="13"/>
  <c r="K525" i="13"/>
  <c r="K526" i="13"/>
  <c r="K527" i="13"/>
  <c r="K528" i="13"/>
  <c r="K529" i="13"/>
  <c r="K530" i="13"/>
  <c r="K531" i="13"/>
  <c r="K532" i="13"/>
  <c r="K533" i="13"/>
  <c r="K534" i="13"/>
  <c r="K535" i="13"/>
  <c r="K536" i="13"/>
  <c r="K537" i="13"/>
  <c r="K538" i="13"/>
  <c r="K539" i="13"/>
  <c r="K540" i="13"/>
  <c r="K541" i="13"/>
  <c r="K542" i="13"/>
  <c r="K543" i="13"/>
  <c r="K544" i="13"/>
  <c r="K545" i="13"/>
  <c r="K546" i="13"/>
  <c r="K547" i="13"/>
  <c r="K548" i="13"/>
  <c r="K549" i="13"/>
  <c r="K550" i="13"/>
  <c r="K551" i="13"/>
  <c r="K552" i="13"/>
  <c r="K553" i="13"/>
  <c r="K554" i="13"/>
  <c r="K555" i="13"/>
  <c r="K556" i="13"/>
  <c r="K557" i="13"/>
  <c r="K558" i="13"/>
  <c r="K559" i="13"/>
  <c r="K560" i="13"/>
  <c r="K561" i="13"/>
  <c r="K562" i="13"/>
  <c r="K563" i="13"/>
  <c r="K564" i="13"/>
  <c r="K565" i="13"/>
  <c r="K566" i="13"/>
  <c r="K567" i="13"/>
  <c r="K568" i="13"/>
  <c r="K569" i="13"/>
  <c r="K570" i="13"/>
  <c r="K571" i="13"/>
  <c r="K572" i="13"/>
  <c r="K573" i="13"/>
  <c r="K574" i="13"/>
  <c r="K575" i="13"/>
  <c r="K576" i="13"/>
  <c r="K577" i="13"/>
  <c r="K578" i="13"/>
  <c r="K579" i="13"/>
  <c r="K580" i="13"/>
  <c r="K581" i="13"/>
  <c r="K582" i="13"/>
  <c r="K583" i="13"/>
  <c r="K584" i="13"/>
  <c r="K585" i="13"/>
  <c r="K586" i="13"/>
  <c r="K587" i="13"/>
  <c r="K588" i="13"/>
  <c r="K589" i="13"/>
  <c r="K590" i="13"/>
  <c r="K591" i="13"/>
  <c r="K592" i="13"/>
  <c r="K593" i="13"/>
  <c r="K594" i="13"/>
  <c r="K595" i="13"/>
  <c r="K596" i="13"/>
  <c r="K597" i="13"/>
  <c r="K598" i="13"/>
  <c r="K599" i="13"/>
  <c r="K600" i="13"/>
  <c r="K601" i="13"/>
  <c r="K602" i="13"/>
  <c r="K603" i="13"/>
  <c r="K604" i="13"/>
  <c r="K605" i="13"/>
  <c r="K606" i="13"/>
  <c r="K607" i="13"/>
  <c r="K608" i="13"/>
  <c r="K609" i="13"/>
  <c r="K610" i="13"/>
  <c r="K611" i="13"/>
  <c r="K612" i="13"/>
  <c r="K613" i="13"/>
  <c r="K614" i="13"/>
  <c r="K615" i="13"/>
  <c r="K616" i="13"/>
  <c r="K617" i="13"/>
  <c r="K618" i="13"/>
  <c r="K619" i="13"/>
  <c r="K620" i="13"/>
  <c r="K621" i="13"/>
  <c r="K622" i="13"/>
  <c r="K623" i="13"/>
  <c r="K624" i="13"/>
  <c r="K625" i="13"/>
  <c r="K626" i="13"/>
  <c r="K627" i="13"/>
  <c r="K628" i="13"/>
  <c r="K629" i="13"/>
  <c r="K630" i="13"/>
  <c r="K631" i="13"/>
  <c r="K632" i="13"/>
  <c r="K633" i="13"/>
  <c r="K634" i="13"/>
  <c r="K635" i="13"/>
  <c r="K636" i="13"/>
  <c r="K637" i="13"/>
  <c r="K638" i="13"/>
  <c r="K639" i="13"/>
  <c r="K640" i="13"/>
  <c r="K641" i="13"/>
  <c r="K642" i="13"/>
  <c r="K643" i="13"/>
  <c r="K644" i="13"/>
  <c r="K645" i="13"/>
  <c r="K646" i="13"/>
  <c r="K647" i="13"/>
  <c r="K648" i="13"/>
  <c r="K649" i="13"/>
  <c r="K650" i="13"/>
  <c r="K651" i="13"/>
  <c r="K652" i="13"/>
  <c r="K653" i="13"/>
  <c r="K654" i="13"/>
  <c r="K655" i="13"/>
  <c r="K656" i="13"/>
  <c r="K657" i="13"/>
  <c r="K658" i="13"/>
  <c r="K659" i="13"/>
  <c r="K660" i="13"/>
  <c r="K661" i="13"/>
  <c r="K662" i="13"/>
  <c r="K663" i="13"/>
  <c r="K664" i="13"/>
  <c r="K665" i="13"/>
  <c r="K666" i="13"/>
  <c r="K667" i="13"/>
  <c r="K668" i="13"/>
  <c r="K669" i="13"/>
  <c r="K670" i="13"/>
  <c r="K671" i="13"/>
  <c r="K672" i="13"/>
  <c r="K673" i="13"/>
  <c r="K674" i="13"/>
  <c r="K675" i="13"/>
  <c r="K676" i="13"/>
  <c r="K677" i="13"/>
  <c r="K678" i="13"/>
  <c r="K679" i="13"/>
  <c r="K680" i="13"/>
  <c r="K681" i="13"/>
  <c r="K682" i="13"/>
  <c r="K683" i="13"/>
  <c r="K684" i="13"/>
  <c r="K685" i="13"/>
  <c r="K686" i="13"/>
  <c r="K687" i="13"/>
  <c r="K688" i="13"/>
  <c r="K689" i="13"/>
  <c r="K690" i="13"/>
  <c r="K691" i="13"/>
  <c r="K692" i="13"/>
  <c r="K693" i="13"/>
  <c r="K694" i="13"/>
  <c r="K695" i="13"/>
  <c r="K696" i="13"/>
  <c r="K697" i="13"/>
  <c r="K698" i="13"/>
  <c r="K699" i="13"/>
  <c r="K700" i="13"/>
  <c r="K701" i="13"/>
  <c r="K702" i="13"/>
  <c r="K703" i="13"/>
  <c r="K704" i="13"/>
  <c r="K705" i="13"/>
  <c r="K706" i="13"/>
  <c r="K707" i="13"/>
  <c r="K708" i="13"/>
  <c r="K709" i="13"/>
  <c r="K710" i="13"/>
  <c r="K711" i="13"/>
  <c r="K712" i="13"/>
  <c r="K713" i="13"/>
  <c r="K714" i="13"/>
  <c r="K715" i="13"/>
  <c r="K716" i="13"/>
  <c r="K717" i="13"/>
  <c r="K718" i="13"/>
  <c r="K719" i="13"/>
  <c r="K720" i="13"/>
  <c r="K721" i="13"/>
  <c r="K722" i="13"/>
  <c r="K723" i="13"/>
  <c r="K724" i="13"/>
  <c r="K725" i="13"/>
  <c r="K726" i="13"/>
  <c r="K727" i="13"/>
  <c r="K728" i="13"/>
  <c r="K729" i="13"/>
  <c r="K730" i="13"/>
  <c r="K731" i="13"/>
  <c r="K732" i="13"/>
  <c r="K733" i="13"/>
  <c r="K734" i="13"/>
  <c r="K735" i="13"/>
  <c r="K736" i="13"/>
  <c r="K737" i="13"/>
  <c r="K738" i="13"/>
  <c r="K740" i="13"/>
  <c r="K741" i="13"/>
  <c r="K742" i="13"/>
  <c r="K743" i="13"/>
  <c r="K744" i="13"/>
  <c r="K745" i="13"/>
  <c r="K746" i="13"/>
  <c r="K747" i="13"/>
  <c r="K748" i="13"/>
  <c r="K749" i="13"/>
  <c r="K750" i="13"/>
  <c r="K751" i="13"/>
  <c r="K752" i="13"/>
  <c r="K753" i="13"/>
  <c r="K754" i="13"/>
  <c r="K755" i="13"/>
  <c r="K756" i="13"/>
  <c r="K757" i="13"/>
  <c r="K758" i="13"/>
  <c r="K759" i="13"/>
  <c r="K760" i="13"/>
  <c r="K761" i="13"/>
  <c r="K762" i="13"/>
  <c r="K763" i="13"/>
  <c r="K764" i="13"/>
  <c r="K765" i="13"/>
  <c r="K766" i="13"/>
  <c r="K767" i="13"/>
  <c r="K768" i="13"/>
  <c r="K769" i="13"/>
  <c r="K770" i="13"/>
  <c r="K771" i="13"/>
  <c r="K772" i="13"/>
  <c r="K773" i="13"/>
  <c r="K774" i="13"/>
  <c r="K775" i="13"/>
  <c r="K776" i="13"/>
  <c r="K777" i="13"/>
  <c r="K778" i="13"/>
  <c r="K779" i="13"/>
  <c r="K780" i="13"/>
  <c r="K781" i="13"/>
  <c r="K782" i="13"/>
  <c r="K783" i="13"/>
  <c r="K784" i="13"/>
  <c r="K785" i="13"/>
  <c r="K786" i="13"/>
  <c r="K787" i="13"/>
  <c r="K788" i="13"/>
  <c r="K789" i="13"/>
  <c r="K790" i="13"/>
  <c r="K791" i="13"/>
  <c r="K792" i="13"/>
  <c r="K793" i="13"/>
  <c r="K794" i="13"/>
  <c r="K795" i="13"/>
  <c r="K796" i="13"/>
  <c r="K797" i="13"/>
  <c r="K798" i="13"/>
  <c r="K799" i="13"/>
  <c r="K800" i="13"/>
  <c r="K801" i="13"/>
  <c r="K802" i="13"/>
  <c r="K803" i="13"/>
  <c r="K804" i="13"/>
  <c r="K805" i="13"/>
  <c r="K806" i="13"/>
  <c r="K807" i="13"/>
  <c r="K808" i="13"/>
  <c r="K809" i="13"/>
  <c r="K810" i="13"/>
  <c r="K811" i="13"/>
  <c r="K812" i="13"/>
  <c r="K813" i="13"/>
  <c r="K814" i="13"/>
  <c r="K815" i="13"/>
  <c r="K816" i="13"/>
  <c r="K817" i="13"/>
  <c r="K818" i="13"/>
  <c r="K819" i="13"/>
  <c r="K820" i="13"/>
  <c r="K821" i="13"/>
  <c r="K822" i="13"/>
  <c r="K823" i="13"/>
  <c r="K824" i="13"/>
  <c r="K825" i="13"/>
  <c r="K826" i="13"/>
  <c r="K827" i="13"/>
  <c r="K828" i="13"/>
  <c r="K829" i="13"/>
  <c r="K830" i="13"/>
  <c r="K831" i="13"/>
  <c r="K832" i="13"/>
  <c r="K833" i="13"/>
  <c r="K834" i="13"/>
  <c r="K835" i="13"/>
  <c r="K836" i="13"/>
  <c r="K837" i="13"/>
  <c r="K838" i="13"/>
  <c r="K839" i="13"/>
  <c r="K840" i="13"/>
  <c r="K841" i="13"/>
  <c r="K842" i="13"/>
  <c r="K843" i="13"/>
  <c r="K844" i="13"/>
  <c r="K845" i="13"/>
  <c r="K846" i="13"/>
  <c r="K847" i="13"/>
  <c r="K848" i="13"/>
  <c r="K849" i="13"/>
  <c r="K850" i="13"/>
  <c r="K851" i="13"/>
  <c r="K852" i="13"/>
  <c r="K853" i="13"/>
  <c r="K854" i="13"/>
  <c r="K855" i="13"/>
  <c r="K856" i="13"/>
  <c r="K857" i="13"/>
  <c r="K858" i="13"/>
  <c r="K859" i="13"/>
  <c r="K860" i="13"/>
  <c r="K861" i="13"/>
  <c r="K862" i="13"/>
  <c r="K863" i="13"/>
  <c r="K864" i="13"/>
  <c r="K865" i="13"/>
  <c r="K866" i="13"/>
  <c r="K867" i="13"/>
  <c r="K868" i="13"/>
  <c r="K869" i="13"/>
  <c r="K870" i="13"/>
  <c r="K871" i="13"/>
  <c r="K872" i="13"/>
  <c r="K873" i="13"/>
  <c r="K874" i="13"/>
  <c r="K875" i="13"/>
  <c r="K876" i="13"/>
  <c r="K877" i="13"/>
  <c r="K878" i="13"/>
  <c r="K879" i="13"/>
  <c r="K880" i="13"/>
  <c r="K881" i="13"/>
  <c r="K882" i="13"/>
  <c r="K883" i="13"/>
  <c r="K884" i="13"/>
  <c r="K885" i="13"/>
  <c r="K886" i="13"/>
  <c r="K887" i="13"/>
  <c r="K888" i="13"/>
  <c r="K889" i="13"/>
  <c r="K890" i="13"/>
  <c r="K891" i="13"/>
  <c r="K892" i="13"/>
  <c r="K893" i="13"/>
  <c r="K894" i="13"/>
  <c r="K895" i="13"/>
  <c r="K896" i="13"/>
  <c r="K897" i="13"/>
  <c r="K898" i="13"/>
  <c r="K899" i="13"/>
  <c r="K900" i="13"/>
  <c r="K901" i="13"/>
  <c r="K902" i="13"/>
  <c r="K903" i="13"/>
  <c r="K904" i="13"/>
  <c r="K905" i="13"/>
  <c r="K906" i="13"/>
  <c r="K907" i="13"/>
  <c r="K908" i="13"/>
  <c r="K909" i="13"/>
  <c r="K910" i="13"/>
  <c r="K911" i="13"/>
  <c r="K912" i="13"/>
  <c r="K913" i="13"/>
  <c r="K914" i="13"/>
  <c r="K915" i="13"/>
  <c r="K916" i="13"/>
  <c r="K917" i="13"/>
  <c r="K918" i="13"/>
  <c r="K919" i="13"/>
  <c r="K920" i="13"/>
  <c r="K921" i="13"/>
  <c r="Z920" i="13"/>
  <c r="AA920" i="13" s="1"/>
  <c r="T920" i="13"/>
  <c r="V920" i="13" s="1"/>
  <c r="AE920" i="13" s="1"/>
  <c r="Z919" i="13"/>
  <c r="AA919" i="13" s="1"/>
  <c r="T919" i="13"/>
  <c r="U919" i="13" s="1"/>
  <c r="W919" i="13" s="1"/>
  <c r="Z918" i="13"/>
  <c r="AA918" i="13" s="1"/>
  <c r="T918" i="13"/>
  <c r="V918" i="13" s="1"/>
  <c r="AE918" i="13" s="1"/>
  <c r="Z917" i="13"/>
  <c r="AA917" i="13" s="1"/>
  <c r="T917" i="13"/>
  <c r="V917" i="13" s="1"/>
  <c r="AE917" i="13" s="1"/>
  <c r="Z916" i="13"/>
  <c r="AA916" i="13" s="1"/>
  <c r="T916" i="13"/>
  <c r="V916" i="13" s="1"/>
  <c r="AE916" i="13" s="1"/>
  <c r="Z915" i="13"/>
  <c r="AA915" i="13" s="1"/>
  <c r="T915" i="13"/>
  <c r="U915" i="13" s="1"/>
  <c r="W915" i="13" s="1"/>
  <c r="Z914" i="13"/>
  <c r="AA914" i="13" s="1"/>
  <c r="T914" i="13"/>
  <c r="U914" i="13" s="1"/>
  <c r="W914" i="13" s="1"/>
  <c r="Z913" i="13"/>
  <c r="AA913" i="13" s="1"/>
  <c r="T913" i="13"/>
  <c r="V913" i="13" s="1"/>
  <c r="AE913" i="13" s="1"/>
  <c r="Z912" i="13"/>
  <c r="AA912" i="13" s="1"/>
  <c r="T912" i="13"/>
  <c r="V912" i="13" s="1"/>
  <c r="AE912" i="13" s="1"/>
  <c r="Z911" i="13"/>
  <c r="AA911" i="13" s="1"/>
  <c r="T911" i="13"/>
  <c r="U911" i="13" s="1"/>
  <c r="W911" i="13" s="1"/>
  <c r="Z910" i="13"/>
  <c r="AA910" i="13" s="1"/>
  <c r="T910" i="13"/>
  <c r="V910" i="13" s="1"/>
  <c r="AE910" i="13" s="1"/>
  <c r="Z909" i="13"/>
  <c r="AA909" i="13" s="1"/>
  <c r="T909" i="13"/>
  <c r="V909" i="13" s="1"/>
  <c r="AE909" i="13" s="1"/>
  <c r="Z908" i="13"/>
  <c r="AA908" i="13" s="1"/>
  <c r="T908" i="13"/>
  <c r="V908" i="13" s="1"/>
  <c r="AE908" i="13" s="1"/>
  <c r="Z907" i="13"/>
  <c r="AA907" i="13" s="1"/>
  <c r="T907" i="13"/>
  <c r="U907" i="13" s="1"/>
  <c r="W907" i="13" s="1"/>
  <c r="Z906" i="13"/>
  <c r="AA906" i="13" s="1"/>
  <c r="T906" i="13"/>
  <c r="V906" i="13" s="1"/>
  <c r="AE906" i="13" s="1"/>
  <c r="Z905" i="13"/>
  <c r="AA905" i="13" s="1"/>
  <c r="T905" i="13"/>
  <c r="V905" i="13" s="1"/>
  <c r="AE905" i="13" s="1"/>
  <c r="Z904" i="13"/>
  <c r="AA904" i="13" s="1"/>
  <c r="T904" i="13"/>
  <c r="V904" i="13" s="1"/>
  <c r="AE904" i="13" s="1"/>
  <c r="Z903" i="13"/>
  <c r="AA903" i="13" s="1"/>
  <c r="T903" i="13"/>
  <c r="U903" i="13" s="1"/>
  <c r="W903" i="13" s="1"/>
  <c r="Z902" i="13"/>
  <c r="AA902" i="13" s="1"/>
  <c r="T902" i="13"/>
  <c r="V902" i="13" s="1"/>
  <c r="AE902" i="13" s="1"/>
  <c r="Z901" i="13"/>
  <c r="AA901" i="13" s="1"/>
  <c r="T901" i="13"/>
  <c r="V901" i="13" s="1"/>
  <c r="AE901" i="13" s="1"/>
  <c r="Z900" i="13"/>
  <c r="AA900" i="13" s="1"/>
  <c r="T900" i="13"/>
  <c r="V900" i="13" s="1"/>
  <c r="AE900" i="13" s="1"/>
  <c r="Z899" i="13"/>
  <c r="AA899" i="13" s="1"/>
  <c r="T899" i="13"/>
  <c r="U899" i="13" s="1"/>
  <c r="W899" i="13" s="1"/>
  <c r="Z898" i="13"/>
  <c r="AA898" i="13" s="1"/>
  <c r="T898" i="13"/>
  <c r="U898" i="13" s="1"/>
  <c r="W898" i="13" s="1"/>
  <c r="Z897" i="13"/>
  <c r="AA897" i="13" s="1"/>
  <c r="T897" i="13"/>
  <c r="V897" i="13" s="1"/>
  <c r="AE897" i="13" s="1"/>
  <c r="Z896" i="13"/>
  <c r="AA896" i="13" s="1"/>
  <c r="T896" i="13"/>
  <c r="V896" i="13" s="1"/>
  <c r="AE896" i="13" s="1"/>
  <c r="Z895" i="13"/>
  <c r="AA895" i="13" s="1"/>
  <c r="T895" i="13"/>
  <c r="U895" i="13" s="1"/>
  <c r="W895" i="13" s="1"/>
  <c r="P919" i="13"/>
  <c r="P918" i="13"/>
  <c r="P917" i="13"/>
  <c r="P916" i="13"/>
  <c r="P915" i="13"/>
  <c r="P914" i="13"/>
  <c r="P913" i="13"/>
  <c r="P912" i="13"/>
  <c r="P911" i="13"/>
  <c r="P910" i="13"/>
  <c r="P909" i="13"/>
  <c r="P908" i="13"/>
  <c r="P907" i="13"/>
  <c r="P906" i="13"/>
  <c r="P905" i="13"/>
  <c r="P904" i="13"/>
  <c r="P903" i="13"/>
  <c r="P902" i="13"/>
  <c r="P901" i="13"/>
  <c r="P900" i="13"/>
  <c r="P899" i="13"/>
  <c r="P898" i="13"/>
  <c r="P897" i="13"/>
  <c r="P896" i="13"/>
  <c r="P895" i="13"/>
  <c r="P894" i="13"/>
  <c r="P893" i="13"/>
  <c r="P892" i="13"/>
  <c r="P891" i="13"/>
  <c r="P890" i="13"/>
  <c r="P889" i="13"/>
  <c r="P888" i="13"/>
  <c r="P887" i="13"/>
  <c r="P886" i="13"/>
  <c r="P885" i="13"/>
  <c r="P884" i="13"/>
  <c r="P883" i="13"/>
  <c r="P882" i="13"/>
  <c r="P881" i="13"/>
  <c r="P880" i="13"/>
  <c r="P879" i="13"/>
  <c r="P878" i="13"/>
  <c r="P877" i="13"/>
  <c r="G53" i="22"/>
  <c r="B53" i="22"/>
  <c r="V898" i="13" l="1"/>
  <c r="AE898" i="13" s="1"/>
  <c r="U906" i="13"/>
  <c r="W906" i="13" s="1"/>
  <c r="AF906" i="13" s="1"/>
  <c r="V914" i="13"/>
  <c r="AE914" i="13" s="1"/>
  <c r="U902" i="13"/>
  <c r="W902" i="13" s="1"/>
  <c r="U910" i="13"/>
  <c r="W910" i="13" s="1"/>
  <c r="U918" i="13"/>
  <c r="W918" i="13" s="1"/>
  <c r="V907" i="13"/>
  <c r="AE907" i="13" s="1"/>
  <c r="V915" i="13"/>
  <c r="AE915" i="13" s="1"/>
  <c r="V895" i="13"/>
  <c r="AE895" i="13" s="1"/>
  <c r="V899" i="13"/>
  <c r="AE899" i="13" s="1"/>
  <c r="V903" i="13"/>
  <c r="AE903" i="13" s="1"/>
  <c r="V911" i="13"/>
  <c r="AE911" i="13" s="1"/>
  <c r="V919" i="13"/>
  <c r="AE919" i="13" s="1"/>
  <c r="AF895" i="13"/>
  <c r="AF899" i="13"/>
  <c r="AF903" i="13"/>
  <c r="AF907" i="13"/>
  <c r="AF911" i="13"/>
  <c r="AF914" i="13"/>
  <c r="AF915" i="13"/>
  <c r="AF919" i="13"/>
  <c r="AF898" i="13"/>
  <c r="U897" i="13"/>
  <c r="W897" i="13" s="1"/>
  <c r="U901" i="13"/>
  <c r="W901" i="13" s="1"/>
  <c r="U905" i="13"/>
  <c r="W905" i="13" s="1"/>
  <c r="U909" i="13"/>
  <c r="W909" i="13" s="1"/>
  <c r="U913" i="13"/>
  <c r="W913" i="13" s="1"/>
  <c r="U917" i="13"/>
  <c r="W917" i="13" s="1"/>
  <c r="U896" i="13"/>
  <c r="W896" i="13" s="1"/>
  <c r="U900" i="13"/>
  <c r="W900" i="13" s="1"/>
  <c r="U904" i="13"/>
  <c r="W904" i="13" s="1"/>
  <c r="U908" i="13"/>
  <c r="W908" i="13" s="1"/>
  <c r="U912" i="13"/>
  <c r="W912" i="13" s="1"/>
  <c r="U916" i="13"/>
  <c r="W916" i="13" s="1"/>
  <c r="U920" i="13"/>
  <c r="W920" i="13" s="1"/>
  <c r="D34" i="32"/>
  <c r="B34" i="32"/>
  <c r="D29" i="32"/>
  <c r="B29" i="32"/>
  <c r="E921" i="13"/>
  <c r="E920" i="13"/>
  <c r="E919" i="13"/>
  <c r="E918" i="13"/>
  <c r="E917" i="13"/>
  <c r="E916" i="13"/>
  <c r="E915" i="13"/>
  <c r="E914" i="13"/>
  <c r="E913" i="13"/>
  <c r="E912" i="13"/>
  <c r="E911" i="13"/>
  <c r="E910" i="13"/>
  <c r="E909" i="13"/>
  <c r="E908" i="13"/>
  <c r="E895" i="13"/>
  <c r="E894" i="13"/>
  <c r="E893" i="13"/>
  <c r="E892" i="13"/>
  <c r="E891" i="13"/>
  <c r="E890" i="13"/>
  <c r="E889" i="13"/>
  <c r="E888" i="13"/>
  <c r="E887" i="13"/>
  <c r="E886" i="13"/>
  <c r="E885" i="13"/>
  <c r="E884" i="13"/>
  <c r="E883" i="13"/>
  <c r="E882" i="13"/>
  <c r="E881" i="13"/>
  <c r="E880" i="13"/>
  <c r="E879" i="13"/>
  <c r="E878" i="13"/>
  <c r="E877" i="13"/>
  <c r="E876" i="13"/>
  <c r="E875" i="13"/>
  <c r="E874" i="13"/>
  <c r="E873" i="13"/>
  <c r="E872" i="13"/>
  <c r="E871" i="13"/>
  <c r="E870" i="13"/>
  <c r="E869" i="13"/>
  <c r="E868" i="13"/>
  <c r="E867" i="13"/>
  <c r="E866" i="13"/>
  <c r="E865" i="13"/>
  <c r="E864" i="13"/>
  <c r="E863" i="13"/>
  <c r="E862" i="13"/>
  <c r="E861" i="13"/>
  <c r="E860" i="13"/>
  <c r="E859" i="13"/>
  <c r="E858" i="13"/>
  <c r="E857" i="13"/>
  <c r="E856" i="13"/>
  <c r="E855" i="13"/>
  <c r="E854" i="13"/>
  <c r="E853" i="13"/>
  <c r="E852" i="13"/>
  <c r="E851" i="13"/>
  <c r="E850" i="13"/>
  <c r="E849" i="13"/>
  <c r="E848" i="13"/>
  <c r="E847" i="13"/>
  <c r="E846" i="13"/>
  <c r="E845" i="13"/>
  <c r="E844" i="13"/>
  <c r="E843" i="13"/>
  <c r="E842" i="13"/>
  <c r="E841" i="13"/>
  <c r="E840" i="13"/>
  <c r="E839" i="13"/>
  <c r="E838" i="13"/>
  <c r="E837" i="13"/>
  <c r="E836" i="13"/>
  <c r="E835" i="13"/>
  <c r="E834" i="13"/>
  <c r="E833" i="13"/>
  <c r="E832" i="13"/>
  <c r="E831" i="13"/>
  <c r="E830" i="13"/>
  <c r="E829" i="13"/>
  <c r="E828" i="13"/>
  <c r="E827" i="13"/>
  <c r="E826" i="13"/>
  <c r="E825" i="13"/>
  <c r="E824" i="13"/>
  <c r="E823" i="13"/>
  <c r="E822" i="13"/>
  <c r="E821" i="13"/>
  <c r="E820" i="13"/>
  <c r="E819" i="13"/>
  <c r="E818" i="13"/>
  <c r="E817" i="13"/>
  <c r="E816" i="13"/>
  <c r="E815" i="13"/>
  <c r="E814" i="13"/>
  <c r="E813" i="13"/>
  <c r="E812" i="13"/>
  <c r="E811" i="13"/>
  <c r="E810" i="13"/>
  <c r="E809" i="13"/>
  <c r="E808" i="13"/>
  <c r="E807" i="13"/>
  <c r="E806" i="13"/>
  <c r="E805" i="13"/>
  <c r="E804" i="13"/>
  <c r="E803" i="13"/>
  <c r="E802" i="13"/>
  <c r="E801" i="13"/>
  <c r="E800" i="13"/>
  <c r="E799" i="13"/>
  <c r="E798" i="13"/>
  <c r="E797" i="13"/>
  <c r="E796" i="13"/>
  <c r="E795" i="13"/>
  <c r="E794" i="13"/>
  <c r="E793" i="13"/>
  <c r="E792" i="13"/>
  <c r="E791" i="13"/>
  <c r="E790" i="13"/>
  <c r="E789" i="13"/>
  <c r="E788" i="13"/>
  <c r="E787" i="13"/>
  <c r="E786" i="13"/>
  <c r="E785" i="13"/>
  <c r="E784" i="13"/>
  <c r="E783" i="13"/>
  <c r="E782" i="13"/>
  <c r="E781" i="13"/>
  <c r="E780" i="13"/>
  <c r="E779" i="13"/>
  <c r="E778" i="13"/>
  <c r="E777" i="13"/>
  <c r="E776" i="13"/>
  <c r="E775" i="13"/>
  <c r="E774" i="13"/>
  <c r="E773" i="13"/>
  <c r="E772" i="13"/>
  <c r="E771" i="13"/>
  <c r="E770" i="13"/>
  <c r="E769" i="13"/>
  <c r="E768" i="13"/>
  <c r="E767" i="13"/>
  <c r="E766" i="13"/>
  <c r="E765" i="13"/>
  <c r="E764" i="13"/>
  <c r="E763" i="13"/>
  <c r="E762" i="13"/>
  <c r="E761" i="13"/>
  <c r="E760" i="13"/>
  <c r="E759" i="13"/>
  <c r="E758" i="13"/>
  <c r="E757" i="13"/>
  <c r="E756" i="13"/>
  <c r="E755" i="13"/>
  <c r="E754" i="13"/>
  <c r="E753" i="13"/>
  <c r="E752" i="13"/>
  <c r="E751" i="13"/>
  <c r="E750" i="13"/>
  <c r="E749" i="13"/>
  <c r="E748" i="13"/>
  <c r="E747" i="13"/>
  <c r="E746" i="13"/>
  <c r="E745" i="13"/>
  <c r="E744" i="13"/>
  <c r="E743" i="13"/>
  <c r="E742" i="13"/>
  <c r="E741" i="13"/>
  <c r="E740" i="13"/>
  <c r="E738" i="13"/>
  <c r="E737" i="13"/>
  <c r="E736" i="13"/>
  <c r="E735" i="13"/>
  <c r="E734" i="13"/>
  <c r="E733" i="13"/>
  <c r="E732" i="13"/>
  <c r="E731" i="13"/>
  <c r="E730" i="13"/>
  <c r="E729" i="13"/>
  <c r="E728" i="13"/>
  <c r="E727" i="13"/>
  <c r="E726" i="13"/>
  <c r="E725" i="13"/>
  <c r="E724" i="13"/>
  <c r="E723" i="13"/>
  <c r="E722" i="13"/>
  <c r="E721" i="13"/>
  <c r="E720" i="13"/>
  <c r="E719" i="13"/>
  <c r="E718" i="13"/>
  <c r="E717" i="13"/>
  <c r="E716" i="13"/>
  <c r="E715" i="13"/>
  <c r="E714" i="13"/>
  <c r="E713" i="13"/>
  <c r="E712" i="13"/>
  <c r="E711" i="13"/>
  <c r="E710" i="13"/>
  <c r="E709" i="13"/>
  <c r="E708" i="13"/>
  <c r="E707" i="13"/>
  <c r="E706" i="13"/>
  <c r="E705" i="13"/>
  <c r="E704" i="13"/>
  <c r="E703" i="13"/>
  <c r="E702" i="13"/>
  <c r="E701" i="13"/>
  <c r="E700" i="13"/>
  <c r="E699" i="13"/>
  <c r="E698" i="13"/>
  <c r="E697" i="13"/>
  <c r="E696" i="13"/>
  <c r="E695" i="13"/>
  <c r="E694" i="13"/>
  <c r="E693" i="13"/>
  <c r="E692" i="13"/>
  <c r="E691" i="13"/>
  <c r="E690" i="13"/>
  <c r="E689" i="13"/>
  <c r="E688" i="13"/>
  <c r="E687" i="13"/>
  <c r="E686" i="13"/>
  <c r="E685" i="13"/>
  <c r="E684" i="13"/>
  <c r="E683" i="13"/>
  <c r="E682" i="13"/>
  <c r="E681" i="13"/>
  <c r="E680" i="13"/>
  <c r="E679" i="13"/>
  <c r="E678" i="13"/>
  <c r="E677" i="13"/>
  <c r="E676" i="13"/>
  <c r="E675" i="13"/>
  <c r="E674" i="13"/>
  <c r="E673" i="13"/>
  <c r="E672" i="13"/>
  <c r="E671" i="13"/>
  <c r="E670" i="13"/>
  <c r="E669" i="13"/>
  <c r="E668" i="13"/>
  <c r="E667" i="13"/>
  <c r="E666" i="13"/>
  <c r="E665" i="13"/>
  <c r="E664" i="13"/>
  <c r="E663" i="13"/>
  <c r="E662" i="13"/>
  <c r="E661" i="13"/>
  <c r="E660" i="13"/>
  <c r="E659" i="13"/>
  <c r="E658" i="13"/>
  <c r="E657" i="13"/>
  <c r="E656" i="13"/>
  <c r="E655" i="13"/>
  <c r="E654" i="13"/>
  <c r="E653" i="13"/>
  <c r="E652" i="13"/>
  <c r="E651" i="13"/>
  <c r="E650" i="13"/>
  <c r="E649" i="13"/>
  <c r="E648" i="13"/>
  <c r="E647" i="13"/>
  <c r="E646" i="13"/>
  <c r="E645" i="13"/>
  <c r="E644" i="13"/>
  <c r="E643" i="13"/>
  <c r="E642" i="13"/>
  <c r="E641" i="13"/>
  <c r="E640" i="13"/>
  <c r="E639" i="13"/>
  <c r="E638" i="13"/>
  <c r="E637" i="13"/>
  <c r="E636" i="13"/>
  <c r="E635" i="13"/>
  <c r="E634" i="13"/>
  <c r="E633" i="13"/>
  <c r="E632" i="13"/>
  <c r="E631" i="13"/>
  <c r="E630" i="13"/>
  <c r="E629" i="13"/>
  <c r="E628" i="13"/>
  <c r="E627" i="13"/>
  <c r="E626" i="13"/>
  <c r="E625" i="13"/>
  <c r="E624" i="13"/>
  <c r="E623" i="13"/>
  <c r="E622" i="13"/>
  <c r="E621" i="13"/>
  <c r="E620" i="13"/>
  <c r="E619" i="13"/>
  <c r="E618" i="13"/>
  <c r="E617" i="13"/>
  <c r="E616" i="13"/>
  <c r="E615" i="13"/>
  <c r="E614" i="13"/>
  <c r="E613" i="13"/>
  <c r="E612" i="13"/>
  <c r="E611" i="13"/>
  <c r="E610" i="13"/>
  <c r="E609" i="13"/>
  <c r="E608" i="13"/>
  <c r="E607" i="13"/>
  <c r="E606" i="13"/>
  <c r="E605" i="13"/>
  <c r="E604" i="13"/>
  <c r="E603" i="13"/>
  <c r="E602" i="13"/>
  <c r="E601" i="13"/>
  <c r="E600" i="13"/>
  <c r="E599" i="13"/>
  <c r="E598" i="13"/>
  <c r="E597" i="13"/>
  <c r="E596" i="13"/>
  <c r="E595" i="13"/>
  <c r="E594" i="13"/>
  <c r="E593" i="13"/>
  <c r="E592" i="13"/>
  <c r="E591" i="13"/>
  <c r="E590" i="13"/>
  <c r="E589" i="13"/>
  <c r="E588" i="13"/>
  <c r="E587" i="13"/>
  <c r="E586" i="13"/>
  <c r="E585" i="13"/>
  <c r="E584" i="13"/>
  <c r="E583" i="13"/>
  <c r="E582" i="13"/>
  <c r="E581" i="13"/>
  <c r="E580" i="13"/>
  <c r="E579" i="13"/>
  <c r="E578" i="13"/>
  <c r="E577" i="13"/>
  <c r="E576" i="13"/>
  <c r="E575" i="13"/>
  <c r="E574" i="13"/>
  <c r="E573" i="13"/>
  <c r="E572" i="13"/>
  <c r="E571" i="13"/>
  <c r="E570" i="13"/>
  <c r="E569" i="13"/>
  <c r="E568" i="13"/>
  <c r="E567" i="13"/>
  <c r="E566" i="13"/>
  <c r="E565" i="13"/>
  <c r="E564" i="13"/>
  <c r="E563" i="13"/>
  <c r="E562" i="13"/>
  <c r="E561" i="13"/>
  <c r="E560" i="13"/>
  <c r="E559" i="13"/>
  <c r="E558" i="13"/>
  <c r="E557" i="13"/>
  <c r="E556" i="13"/>
  <c r="E555" i="13"/>
  <c r="E554" i="13"/>
  <c r="E553" i="13"/>
  <c r="E552" i="13"/>
  <c r="E551" i="13"/>
  <c r="E550" i="13"/>
  <c r="E549" i="13"/>
  <c r="E548" i="13"/>
  <c r="E547" i="13"/>
  <c r="E546" i="13"/>
  <c r="E545" i="13"/>
  <c r="E544" i="13"/>
  <c r="E543" i="13"/>
  <c r="E542" i="13"/>
  <c r="E541" i="13"/>
  <c r="E540" i="13"/>
  <c r="E539" i="13"/>
  <c r="E538" i="13"/>
  <c r="E537" i="13"/>
  <c r="E536" i="13"/>
  <c r="E535" i="13"/>
  <c r="E534" i="13"/>
  <c r="E533" i="13"/>
  <c r="E532" i="13"/>
  <c r="E531" i="13"/>
  <c r="E530" i="13"/>
  <c r="E529" i="13"/>
  <c r="E528" i="13"/>
  <c r="E527" i="13"/>
  <c r="E526" i="13"/>
  <c r="E525" i="13"/>
  <c r="E524" i="13"/>
  <c r="E523" i="13"/>
  <c r="E522" i="13"/>
  <c r="E521" i="13"/>
  <c r="E520" i="13"/>
  <c r="E519" i="13"/>
  <c r="E518" i="13"/>
  <c r="E517" i="13"/>
  <c r="E516" i="13"/>
  <c r="E515" i="13"/>
  <c r="E514" i="13"/>
  <c r="E513" i="13"/>
  <c r="E512" i="13"/>
  <c r="E511" i="13"/>
  <c r="E510" i="13"/>
  <c r="E509" i="13"/>
  <c r="E508" i="13"/>
  <c r="E507" i="13"/>
  <c r="E506" i="13"/>
  <c r="E505" i="13"/>
  <c r="E504" i="13"/>
  <c r="E503" i="13"/>
  <c r="E502" i="13"/>
  <c r="E501" i="13"/>
  <c r="E500" i="13"/>
  <c r="E499" i="13"/>
  <c r="E498" i="13"/>
  <c r="E497" i="13"/>
  <c r="E496" i="13"/>
  <c r="E495" i="13"/>
  <c r="E494" i="13"/>
  <c r="E493" i="13"/>
  <c r="E492" i="13"/>
  <c r="E491" i="13"/>
  <c r="E490" i="13"/>
  <c r="E489" i="13"/>
  <c r="E488" i="13"/>
  <c r="E487" i="13"/>
  <c r="E486" i="13"/>
  <c r="E485" i="13"/>
  <c r="E484" i="13"/>
  <c r="E483" i="13"/>
  <c r="E482" i="13"/>
  <c r="E481" i="13"/>
  <c r="E480" i="13"/>
  <c r="E479" i="13"/>
  <c r="E478" i="13"/>
  <c r="E477" i="13"/>
  <c r="E476" i="13"/>
  <c r="E475" i="13"/>
  <c r="E474" i="13"/>
  <c r="E473" i="13"/>
  <c r="E472" i="13"/>
  <c r="E471" i="13"/>
  <c r="E470" i="13"/>
  <c r="E469" i="13"/>
  <c r="E468" i="13"/>
  <c r="E467" i="13"/>
  <c r="E466" i="13"/>
  <c r="E465" i="13"/>
  <c r="E464" i="13"/>
  <c r="E463" i="13"/>
  <c r="E462" i="13"/>
  <c r="E461" i="13"/>
  <c r="E460" i="13"/>
  <c r="E459" i="13"/>
  <c r="E458" i="13"/>
  <c r="E457" i="13"/>
  <c r="E456" i="13"/>
  <c r="E455" i="13"/>
  <c r="E454" i="13"/>
  <c r="E453" i="13"/>
  <c r="E452" i="13"/>
  <c r="E451" i="13"/>
  <c r="E450" i="13"/>
  <c r="E449" i="13"/>
  <c r="E448" i="13"/>
  <c r="E447" i="13"/>
  <c r="E446" i="13"/>
  <c r="E445" i="13"/>
  <c r="E444" i="13"/>
  <c r="E443" i="13"/>
  <c r="E442" i="13"/>
  <c r="E441" i="13"/>
  <c r="E440" i="13"/>
  <c r="E439" i="13"/>
  <c r="E438" i="13"/>
  <c r="E437" i="13"/>
  <c r="E436" i="13"/>
  <c r="E435" i="13"/>
  <c r="E434" i="13"/>
  <c r="E433" i="13"/>
  <c r="E432" i="13"/>
  <c r="E431" i="13"/>
  <c r="E430" i="13"/>
  <c r="E429" i="13"/>
  <c r="E428" i="13"/>
  <c r="E427" i="13"/>
  <c r="E426" i="13"/>
  <c r="E425" i="13"/>
  <c r="E424" i="13"/>
  <c r="E423" i="13"/>
  <c r="E422" i="13"/>
  <c r="E421" i="13"/>
  <c r="E420" i="13"/>
  <c r="E419" i="13"/>
  <c r="E418" i="13"/>
  <c r="E417" i="13"/>
  <c r="E416" i="13"/>
  <c r="E415" i="13"/>
  <c r="E414" i="13"/>
  <c r="E413" i="13"/>
  <c r="E412" i="13"/>
  <c r="E411" i="13"/>
  <c r="E410" i="13"/>
  <c r="E409" i="13"/>
  <c r="E408" i="13"/>
  <c r="E407" i="13"/>
  <c r="E406" i="13"/>
  <c r="E405" i="13"/>
  <c r="E404" i="13"/>
  <c r="E403" i="13"/>
  <c r="E402" i="13"/>
  <c r="E401" i="13"/>
  <c r="E400" i="13"/>
  <c r="E399" i="13"/>
  <c r="E398" i="13"/>
  <c r="E397" i="13"/>
  <c r="E396" i="13"/>
  <c r="E395" i="13"/>
  <c r="E394" i="13"/>
  <c r="E393" i="13"/>
  <c r="E392" i="13"/>
  <c r="E391" i="13"/>
  <c r="E390" i="13"/>
  <c r="E389" i="13"/>
  <c r="E388" i="13"/>
  <c r="E387" i="13"/>
  <c r="E386" i="13"/>
  <c r="E385" i="13"/>
  <c r="E384" i="13"/>
  <c r="E383" i="13"/>
  <c r="E382" i="13"/>
  <c r="E381" i="13"/>
  <c r="E380" i="13"/>
  <c r="E379" i="13"/>
  <c r="E378" i="13"/>
  <c r="E377" i="13"/>
  <c r="E376" i="13"/>
  <c r="E375" i="13"/>
  <c r="E374" i="13"/>
  <c r="E373" i="13"/>
  <c r="E372" i="13"/>
  <c r="E371" i="13"/>
  <c r="E370" i="13"/>
  <c r="E369" i="13"/>
  <c r="E368" i="13"/>
  <c r="E367" i="13"/>
  <c r="E366" i="13"/>
  <c r="E365" i="13"/>
  <c r="E364" i="13"/>
  <c r="E363" i="13"/>
  <c r="E362" i="13"/>
  <c r="E361" i="13"/>
  <c r="E360" i="13"/>
  <c r="E359" i="13"/>
  <c r="E358" i="13"/>
  <c r="E357" i="13"/>
  <c r="E356" i="13"/>
  <c r="E355" i="13"/>
  <c r="E354" i="13"/>
  <c r="E353" i="13"/>
  <c r="E352" i="13"/>
  <c r="E351" i="13"/>
  <c r="E350" i="13"/>
  <c r="E349" i="13"/>
  <c r="E348" i="13"/>
  <c r="E347" i="13"/>
  <c r="E346" i="13"/>
  <c r="E345" i="13"/>
  <c r="E344" i="13"/>
  <c r="E343" i="13"/>
  <c r="E342" i="13"/>
  <c r="E341" i="13"/>
  <c r="E340" i="13"/>
  <c r="E339" i="13"/>
  <c r="E338" i="13"/>
  <c r="E337" i="13"/>
  <c r="E336" i="13"/>
  <c r="E335" i="13"/>
  <c r="E334" i="13"/>
  <c r="E333" i="13"/>
  <c r="E332" i="13"/>
  <c r="E331" i="13"/>
  <c r="E330" i="13"/>
  <c r="E329" i="13"/>
  <c r="E328" i="13"/>
  <c r="E327" i="13"/>
  <c r="E326" i="13"/>
  <c r="E325" i="13"/>
  <c r="E324" i="13"/>
  <c r="E323" i="13"/>
  <c r="E322" i="13"/>
  <c r="E321" i="13"/>
  <c r="E320" i="13"/>
  <c r="E319" i="13"/>
  <c r="E318" i="13"/>
  <c r="E317" i="13"/>
  <c r="E316" i="13"/>
  <c r="E315" i="13"/>
  <c r="E314" i="13"/>
  <c r="E313" i="13"/>
  <c r="E312" i="13"/>
  <c r="E311" i="13"/>
  <c r="E310" i="13"/>
  <c r="E309" i="13"/>
  <c r="E308" i="13"/>
  <c r="E307" i="13"/>
  <c r="E306" i="13"/>
  <c r="E305" i="13"/>
  <c r="E304" i="13"/>
  <c r="E303" i="13"/>
  <c r="E302" i="13"/>
  <c r="E301" i="13"/>
  <c r="E300" i="13"/>
  <c r="E299" i="13"/>
  <c r="E298" i="13"/>
  <c r="E297" i="13"/>
  <c r="E296" i="13"/>
  <c r="E295" i="13"/>
  <c r="E294" i="13"/>
  <c r="E293" i="13"/>
  <c r="E292" i="13"/>
  <c r="E291" i="13"/>
  <c r="E290" i="13"/>
  <c r="E289" i="13"/>
  <c r="E288" i="13"/>
  <c r="E287" i="13"/>
  <c r="E286" i="13"/>
  <c r="E285" i="13"/>
  <c r="E284" i="13"/>
  <c r="E283" i="13"/>
  <c r="E282" i="13"/>
  <c r="E281" i="13"/>
  <c r="E280" i="13"/>
  <c r="E279" i="13"/>
  <c r="E278" i="13"/>
  <c r="E277" i="13"/>
  <c r="E276" i="13"/>
  <c r="E275" i="13"/>
  <c r="E274" i="13"/>
  <c r="E273" i="13"/>
  <c r="E272" i="13"/>
  <c r="E271" i="13"/>
  <c r="E270" i="13"/>
  <c r="E269" i="13"/>
  <c r="E268" i="13"/>
  <c r="E267" i="13"/>
  <c r="E266" i="13"/>
  <c r="E265" i="13"/>
  <c r="E264" i="13"/>
  <c r="E263" i="13"/>
  <c r="E262" i="13"/>
  <c r="E261" i="13"/>
  <c r="E260" i="13"/>
  <c r="E259" i="13"/>
  <c r="E258" i="13"/>
  <c r="E257" i="13"/>
  <c r="E256" i="13"/>
  <c r="E255" i="13"/>
  <c r="E254" i="13"/>
  <c r="E253" i="13"/>
  <c r="E252" i="13"/>
  <c r="E251" i="13"/>
  <c r="E250" i="13"/>
  <c r="E249" i="13"/>
  <c r="E248" i="13"/>
  <c r="E247" i="13"/>
  <c r="E246" i="13"/>
  <c r="E245" i="13"/>
  <c r="E244" i="13"/>
  <c r="E243" i="13"/>
  <c r="E242" i="13"/>
  <c r="E241" i="13"/>
  <c r="E240" i="13"/>
  <c r="E239" i="13"/>
  <c r="E238" i="13"/>
  <c r="E237" i="13"/>
  <c r="E236" i="13"/>
  <c r="E235" i="13"/>
  <c r="E234" i="13"/>
  <c r="E233" i="13"/>
  <c r="E232" i="13"/>
  <c r="E231" i="13"/>
  <c r="E230" i="13"/>
  <c r="E229" i="13"/>
  <c r="E228" i="13"/>
  <c r="E227" i="13"/>
  <c r="E226" i="13"/>
  <c r="E225" i="13"/>
  <c r="E224" i="13"/>
  <c r="E223" i="13"/>
  <c r="E222" i="13"/>
  <c r="E221" i="13"/>
  <c r="E220" i="13"/>
  <c r="E219" i="13"/>
  <c r="E218" i="13"/>
  <c r="E217" i="13"/>
  <c r="E216" i="13"/>
  <c r="E215" i="13"/>
  <c r="E214" i="13"/>
  <c r="E213" i="13"/>
  <c r="E212" i="13"/>
  <c r="E211" i="13"/>
  <c r="E210" i="13"/>
  <c r="E209" i="13"/>
  <c r="E208" i="13"/>
  <c r="E207" i="13"/>
  <c r="E206" i="13"/>
  <c r="E205" i="13"/>
  <c r="E204" i="13"/>
  <c r="E203" i="13"/>
  <c r="E202" i="13"/>
  <c r="E201" i="13"/>
  <c r="E200" i="13"/>
  <c r="E199" i="13"/>
  <c r="E198" i="13"/>
  <c r="E197" i="13"/>
  <c r="E196" i="13"/>
  <c r="E195" i="13"/>
  <c r="E194" i="13"/>
  <c r="E193" i="13"/>
  <c r="E192" i="13"/>
  <c r="E191" i="13"/>
  <c r="E190" i="13"/>
  <c r="E189" i="13"/>
  <c r="E188" i="13"/>
  <c r="E187" i="13"/>
  <c r="E186" i="13"/>
  <c r="E185" i="13"/>
  <c r="E184" i="13"/>
  <c r="E183" i="13"/>
  <c r="E182" i="13"/>
  <c r="E181" i="13"/>
  <c r="E180" i="13"/>
  <c r="E179" i="13"/>
  <c r="E178" i="13"/>
  <c r="E177" i="13"/>
  <c r="E176" i="13"/>
  <c r="E175" i="13"/>
  <c r="E174" i="13"/>
  <c r="E173" i="13"/>
  <c r="E172" i="13"/>
  <c r="E171" i="13"/>
  <c r="E170" i="13"/>
  <c r="E169" i="13"/>
  <c r="E168" i="13"/>
  <c r="E167" i="13"/>
  <c r="E166" i="13"/>
  <c r="E165" i="13"/>
  <c r="E164" i="13"/>
  <c r="E163" i="13"/>
  <c r="E162" i="13"/>
  <c r="E161" i="13"/>
  <c r="E160" i="13"/>
  <c r="E159" i="13"/>
  <c r="E158" i="13"/>
  <c r="E157" i="13"/>
  <c r="E156" i="13"/>
  <c r="E155" i="13"/>
  <c r="E154" i="13"/>
  <c r="E153" i="13"/>
  <c r="E152" i="13"/>
  <c r="E151" i="13"/>
  <c r="E150" i="13"/>
  <c r="E149" i="13"/>
  <c r="E148" i="13"/>
  <c r="E147" i="13"/>
  <c r="E146" i="13"/>
  <c r="E145" i="13"/>
  <c r="E144" i="13"/>
  <c r="E143" i="13"/>
  <c r="E142" i="13"/>
  <c r="E141" i="13"/>
  <c r="E140" i="13"/>
  <c r="E139" i="13"/>
  <c r="E138" i="13"/>
  <c r="E137" i="13"/>
  <c r="E136" i="13"/>
  <c r="E135" i="13"/>
  <c r="E134" i="13"/>
  <c r="E133" i="13"/>
  <c r="E132" i="13"/>
  <c r="E131" i="13"/>
  <c r="E130" i="13"/>
  <c r="E129" i="13"/>
  <c r="E128" i="13"/>
  <c r="E127" i="13"/>
  <c r="E126" i="13"/>
  <c r="E125" i="13"/>
  <c r="E124" i="13"/>
  <c r="E123" i="13"/>
  <c r="E122" i="13"/>
  <c r="E121" i="13"/>
  <c r="E120" i="13"/>
  <c r="E119" i="13"/>
  <c r="E118" i="13"/>
  <c r="E117" i="13"/>
  <c r="E116" i="13"/>
  <c r="E115" i="13"/>
  <c r="E114" i="13"/>
  <c r="E113" i="13"/>
  <c r="E112" i="13"/>
  <c r="E111" i="13"/>
  <c r="E110" i="13"/>
  <c r="E109" i="13"/>
  <c r="E108" i="13"/>
  <c r="E107" i="13"/>
  <c r="E106" i="13"/>
  <c r="E105" i="13"/>
  <c r="E104" i="13"/>
  <c r="E103" i="13"/>
  <c r="E102" i="13"/>
  <c r="E101" i="13"/>
  <c r="E100" i="13"/>
  <c r="E99" i="13"/>
  <c r="E98" i="13"/>
  <c r="E97" i="13"/>
  <c r="E96" i="13"/>
  <c r="E95" i="13"/>
  <c r="E94" i="13"/>
  <c r="E93" i="13"/>
  <c r="E92" i="13"/>
  <c r="E91" i="13"/>
  <c r="E90" i="13"/>
  <c r="E89" i="13"/>
  <c r="E88" i="13"/>
  <c r="E87" i="13"/>
  <c r="E86" i="13"/>
  <c r="E85" i="13"/>
  <c r="E84" i="13"/>
  <c r="E83" i="13"/>
  <c r="E82" i="13"/>
  <c r="E81" i="13"/>
  <c r="E80" i="13"/>
  <c r="E79" i="13"/>
  <c r="E78" i="13"/>
  <c r="E77" i="13"/>
  <c r="E76" i="13"/>
  <c r="E75" i="13"/>
  <c r="E74" i="13"/>
  <c r="E73" i="13"/>
  <c r="E72" i="13"/>
  <c r="E71" i="13"/>
  <c r="E70" i="13"/>
  <c r="E69" i="13"/>
  <c r="E68" i="13"/>
  <c r="E67" i="13"/>
  <c r="E66" i="13"/>
  <c r="E65" i="13"/>
  <c r="E64" i="13"/>
  <c r="E63" i="13"/>
  <c r="E62" i="13"/>
  <c r="E61" i="13"/>
  <c r="E60" i="13"/>
  <c r="E59" i="13"/>
  <c r="E58" i="13"/>
  <c r="E57" i="13"/>
  <c r="E56" i="13"/>
  <c r="E55" i="13"/>
  <c r="E54" i="13"/>
  <c r="E53" i="13"/>
  <c r="E52" i="13"/>
  <c r="E51" i="13"/>
  <c r="E50" i="13"/>
  <c r="E49" i="13"/>
  <c r="E48" i="13"/>
  <c r="E47" i="13"/>
  <c r="E46" i="13"/>
  <c r="E45" i="13"/>
  <c r="E44" i="13"/>
  <c r="E43" i="13"/>
  <c r="E42" i="13"/>
  <c r="E41" i="13"/>
  <c r="E40" i="13"/>
  <c r="E39" i="13"/>
  <c r="E38" i="13"/>
  <c r="E37" i="13"/>
  <c r="E36" i="13"/>
  <c r="E35" i="13"/>
  <c r="E34" i="13"/>
  <c r="E33" i="13"/>
  <c r="E32" i="13"/>
  <c r="E31" i="13"/>
  <c r="E30" i="13"/>
  <c r="E29" i="13"/>
  <c r="E28" i="13"/>
  <c r="E27" i="13"/>
  <c r="E26" i="13"/>
  <c r="E25" i="13"/>
  <c r="E24" i="13"/>
  <c r="E23" i="13"/>
  <c r="E22" i="13"/>
  <c r="E21" i="13"/>
  <c r="E20" i="13"/>
  <c r="E19" i="13"/>
  <c r="E18" i="13"/>
  <c r="E17" i="13"/>
  <c r="E16" i="13"/>
  <c r="E15" i="13"/>
  <c r="E14" i="13"/>
  <c r="E13" i="13"/>
  <c r="E12" i="13"/>
  <c r="E11" i="13"/>
  <c r="E10" i="13"/>
  <c r="E9" i="13"/>
  <c r="E8" i="13"/>
  <c r="E7" i="13"/>
  <c r="E6" i="13"/>
  <c r="E5" i="13"/>
  <c r="D5" i="13"/>
  <c r="AF918" i="13" l="1"/>
  <c r="AF910" i="13"/>
  <c r="AF902" i="13"/>
  <c r="AF912" i="13"/>
  <c r="AF896" i="13"/>
  <c r="AF905" i="13"/>
  <c r="AF908" i="13"/>
  <c r="AF917" i="13"/>
  <c r="AF901" i="13"/>
  <c r="AF920" i="13"/>
  <c r="AF904" i="13"/>
  <c r="AF913" i="13"/>
  <c r="AF897" i="13"/>
  <c r="AF916" i="13"/>
  <c r="AF900" i="13"/>
  <c r="AF909" i="13"/>
  <c r="D39" i="32"/>
  <c r="B39" i="32"/>
  <c r="G66" i="22" l="1"/>
  <c r="D66" i="22"/>
  <c r="B66" i="22"/>
  <c r="G61" i="22"/>
  <c r="D61" i="22"/>
  <c r="B61" i="22"/>
  <c r="B62" i="22"/>
  <c r="D62" i="22"/>
  <c r="G62" i="22"/>
  <c r="G55" i="22"/>
  <c r="D55" i="22"/>
  <c r="B55" i="22"/>
  <c r="G48" i="22"/>
  <c r="D48" i="22"/>
  <c r="B48" i="22"/>
  <c r="G43" i="22"/>
  <c r="D43" i="22"/>
  <c r="B43" i="22"/>
  <c r="G38" i="22"/>
  <c r="D38" i="22"/>
  <c r="B38" i="22"/>
  <c r="G31" i="22"/>
  <c r="D31" i="22"/>
  <c r="B31" i="22"/>
  <c r="G65" i="22"/>
  <c r="D65" i="22"/>
  <c r="B65" i="22"/>
  <c r="G59" i="22"/>
  <c r="D59" i="22"/>
  <c r="B59" i="22"/>
  <c r="G52" i="22"/>
  <c r="D52" i="22"/>
  <c r="B52" i="22"/>
  <c r="B35" i="22"/>
  <c r="B36" i="22"/>
  <c r="D35" i="22"/>
  <c r="D36" i="22"/>
  <c r="G35" i="22"/>
  <c r="G36" i="22"/>
  <c r="D42" i="32"/>
  <c r="B42" i="32"/>
  <c r="G44" i="25"/>
  <c r="I44" i="25" s="1"/>
  <c r="D44" i="25"/>
  <c r="B44" i="25"/>
  <c r="G19" i="25" l="1"/>
  <c r="G20" i="25"/>
  <c r="G21" i="25"/>
  <c r="I21" i="25" s="1"/>
  <c r="G22" i="25"/>
  <c r="I22" i="25" s="1"/>
  <c r="G23" i="25"/>
  <c r="I23" i="25" s="1"/>
  <c r="G24" i="25"/>
  <c r="I24" i="25" s="1"/>
  <c r="G25" i="25"/>
  <c r="I25" i="25" s="1"/>
  <c r="G26" i="25"/>
  <c r="I26" i="25" s="1"/>
  <c r="G27" i="25"/>
  <c r="I27" i="25" s="1"/>
  <c r="G28" i="25"/>
  <c r="I28" i="25" s="1"/>
  <c r="G29" i="25"/>
  <c r="I29" i="25" s="1"/>
  <c r="G30" i="25"/>
  <c r="I30" i="25" s="1"/>
  <c r="G31" i="25"/>
  <c r="I31" i="25" s="1"/>
  <c r="G32" i="25"/>
  <c r="I32" i="25" s="1"/>
  <c r="G33" i="25"/>
  <c r="I33" i="25" s="1"/>
  <c r="G34" i="25"/>
  <c r="I34" i="25" s="1"/>
  <c r="G35" i="25"/>
  <c r="I35" i="25" s="1"/>
  <c r="G36" i="25"/>
  <c r="I36" i="25" s="1"/>
  <c r="G37" i="25"/>
  <c r="I37" i="25" s="1"/>
  <c r="G38" i="25"/>
  <c r="I38" i="25" s="1"/>
  <c r="G39" i="25"/>
  <c r="I39" i="25" s="1"/>
  <c r="G40" i="25"/>
  <c r="I40" i="25" s="1"/>
  <c r="G41" i="25"/>
  <c r="I41" i="25" s="1"/>
  <c r="G42" i="25"/>
  <c r="I42" i="25" s="1"/>
  <c r="G43" i="25"/>
  <c r="I43" i="25" s="1"/>
  <c r="G45" i="25"/>
  <c r="I45" i="25" s="1"/>
  <c r="G46" i="25"/>
  <c r="I46" i="25" s="1"/>
  <c r="G47" i="25"/>
  <c r="I47" i="25" s="1"/>
  <c r="G48" i="25"/>
  <c r="I48" i="25" s="1"/>
  <c r="G49" i="25"/>
  <c r="I49" i="25" s="1"/>
  <c r="G50" i="25"/>
  <c r="I50" i="25" s="1"/>
  <c r="G51" i="25"/>
  <c r="I51" i="25" s="1"/>
  <c r="G52" i="25"/>
  <c r="I52" i="25" s="1"/>
  <c r="G53" i="25"/>
  <c r="I53" i="25" s="1"/>
  <c r="G54" i="25"/>
  <c r="I54" i="25" s="1"/>
  <c r="G55" i="25"/>
  <c r="I55" i="25" s="1"/>
  <c r="B21" i="25"/>
  <c r="D21" i="25"/>
  <c r="B22" i="25"/>
  <c r="D22" i="25"/>
  <c r="B23" i="25"/>
  <c r="D23" i="25"/>
  <c r="B24" i="25"/>
  <c r="D24" i="25"/>
  <c r="B25" i="25"/>
  <c r="D25" i="25"/>
  <c r="B26" i="25"/>
  <c r="D26" i="25"/>
  <c r="B27" i="25"/>
  <c r="D27" i="25"/>
  <c r="B28" i="25"/>
  <c r="D28" i="25"/>
  <c r="B29" i="25"/>
  <c r="D29" i="25"/>
  <c r="B30" i="25"/>
  <c r="D30" i="25"/>
  <c r="B31" i="25"/>
  <c r="D31" i="25"/>
  <c r="B32" i="25"/>
  <c r="D32" i="25"/>
  <c r="B33" i="25"/>
  <c r="D33" i="25"/>
  <c r="B34" i="25"/>
  <c r="D34" i="25"/>
  <c r="B35" i="25"/>
  <c r="D35" i="25"/>
  <c r="B36" i="25"/>
  <c r="D36" i="25"/>
  <c r="B37" i="25"/>
  <c r="D37" i="25"/>
  <c r="B38" i="25"/>
  <c r="D38" i="25"/>
  <c r="B39" i="25"/>
  <c r="D39" i="25"/>
  <c r="B40" i="25"/>
  <c r="D40" i="25"/>
  <c r="B41" i="25"/>
  <c r="D41" i="25"/>
  <c r="B42" i="25"/>
  <c r="D42" i="25"/>
  <c r="B43" i="25"/>
  <c r="D43" i="25"/>
  <c r="B45" i="25"/>
  <c r="D45" i="25"/>
  <c r="B46" i="25"/>
  <c r="D46" i="25"/>
  <c r="B47" i="25"/>
  <c r="D47" i="25"/>
  <c r="B48" i="25"/>
  <c r="D48" i="25"/>
  <c r="B49" i="25"/>
  <c r="D49" i="25"/>
  <c r="B50" i="25"/>
  <c r="D50" i="25"/>
  <c r="B51" i="25"/>
  <c r="D51" i="25"/>
  <c r="B52" i="25"/>
  <c r="D52" i="25"/>
  <c r="B53" i="25"/>
  <c r="D53" i="25"/>
  <c r="B54" i="25"/>
  <c r="D54" i="25"/>
  <c r="B55" i="25"/>
  <c r="D55" i="25"/>
  <c r="D28" i="32"/>
  <c r="D30" i="32"/>
  <c r="D32" i="32"/>
  <c r="D33" i="32"/>
  <c r="D35" i="32"/>
  <c r="D36" i="32"/>
  <c r="D37" i="32"/>
  <c r="D38" i="32"/>
  <c r="D41" i="32"/>
  <c r="B41" i="32" l="1"/>
  <c r="B38" i="32"/>
  <c r="B37" i="32"/>
  <c r="B36" i="32"/>
  <c r="B35" i="32"/>
  <c r="B33" i="32"/>
  <c r="B32" i="32"/>
  <c r="B30" i="32"/>
  <c r="B28" i="32"/>
  <c r="B921" i="13"/>
  <c r="B920" i="13"/>
  <c r="B919" i="13"/>
  <c r="B918" i="13"/>
  <c r="B917" i="13"/>
  <c r="B916" i="13"/>
  <c r="B915" i="13"/>
  <c r="B914" i="13"/>
  <c r="B913" i="13"/>
  <c r="B912" i="13"/>
  <c r="B911" i="13"/>
  <c r="B910" i="13"/>
  <c r="B909" i="13"/>
  <c r="B908" i="13"/>
  <c r="B895" i="13"/>
  <c r="B894" i="13"/>
  <c r="B893" i="13"/>
  <c r="B892" i="13"/>
  <c r="B891" i="13"/>
  <c r="B890" i="13"/>
  <c r="B889" i="13"/>
  <c r="B888" i="13"/>
  <c r="B887" i="13"/>
  <c r="B886" i="13"/>
  <c r="B885" i="13"/>
  <c r="B884" i="13"/>
  <c r="B883" i="13"/>
  <c r="B882" i="13"/>
  <c r="B881" i="13"/>
  <c r="B880" i="13"/>
  <c r="B879" i="13"/>
  <c r="B878" i="13"/>
  <c r="B877" i="13"/>
  <c r="B876" i="13"/>
  <c r="B875" i="13"/>
  <c r="B874" i="13"/>
  <c r="B873" i="13"/>
  <c r="B872" i="13"/>
  <c r="B871" i="13"/>
  <c r="B870" i="13"/>
  <c r="B869" i="13"/>
  <c r="B868" i="13"/>
  <c r="B867" i="13"/>
  <c r="B866" i="13"/>
  <c r="Z921" i="13"/>
  <c r="AA921" i="13" s="1"/>
  <c r="T921" i="13"/>
  <c r="V921" i="13" s="1"/>
  <c r="AE921" i="13" s="1"/>
  <c r="Z894" i="13"/>
  <c r="AA894" i="13" s="1"/>
  <c r="T894" i="13"/>
  <c r="Z893" i="13"/>
  <c r="AA893" i="13" s="1"/>
  <c r="T893" i="13"/>
  <c r="V893" i="13" s="1"/>
  <c r="AE893" i="13" s="1"/>
  <c r="Z892" i="13"/>
  <c r="AA892" i="13" s="1"/>
  <c r="T892" i="13"/>
  <c r="V892" i="13" s="1"/>
  <c r="AE892" i="13" s="1"/>
  <c r="Z891" i="13"/>
  <c r="AA891" i="13" s="1"/>
  <c r="T891" i="13"/>
  <c r="V891" i="13" s="1"/>
  <c r="AE891" i="13" s="1"/>
  <c r="Z890" i="13"/>
  <c r="AA890" i="13" s="1"/>
  <c r="T890" i="13"/>
  <c r="U890" i="13" s="1"/>
  <c r="W890" i="13" s="1"/>
  <c r="Z889" i="13"/>
  <c r="AA889" i="13" s="1"/>
  <c r="T889" i="13"/>
  <c r="V889" i="13" s="1"/>
  <c r="AE889" i="13" s="1"/>
  <c r="Z888" i="13"/>
  <c r="AA888" i="13" s="1"/>
  <c r="T888" i="13"/>
  <c r="V888" i="13" s="1"/>
  <c r="AE888" i="13" s="1"/>
  <c r="Z887" i="13"/>
  <c r="AA887" i="13" s="1"/>
  <c r="T887" i="13"/>
  <c r="Z886" i="13"/>
  <c r="AA886" i="13" s="1"/>
  <c r="T886" i="13"/>
  <c r="V886" i="13" s="1"/>
  <c r="AE886" i="13" s="1"/>
  <c r="Z885" i="13"/>
  <c r="AA885" i="13" s="1"/>
  <c r="T885" i="13"/>
  <c r="V885" i="13" s="1"/>
  <c r="AE885" i="13" s="1"/>
  <c r="Z884" i="13"/>
  <c r="AA884" i="13" s="1"/>
  <c r="T884" i="13"/>
  <c r="U884" i="13" s="1"/>
  <c r="W884" i="13" s="1"/>
  <c r="Z883" i="13"/>
  <c r="AA883" i="13" s="1"/>
  <c r="T883" i="13"/>
  <c r="V883" i="13" s="1"/>
  <c r="AE883" i="13" s="1"/>
  <c r="Z882" i="13"/>
  <c r="AA882" i="13" s="1"/>
  <c r="T882" i="13"/>
  <c r="V882" i="13" s="1"/>
  <c r="AE882" i="13" s="1"/>
  <c r="Z881" i="13"/>
  <c r="AA881" i="13" s="1"/>
  <c r="T881" i="13"/>
  <c r="U881" i="13" s="1"/>
  <c r="W881" i="13" s="1"/>
  <c r="Z880" i="13"/>
  <c r="AA880" i="13" s="1"/>
  <c r="T880" i="13"/>
  <c r="V880" i="13" s="1"/>
  <c r="AE880" i="13" s="1"/>
  <c r="Z879" i="13"/>
  <c r="AA879" i="13" s="1"/>
  <c r="T879" i="13"/>
  <c r="V879" i="13" s="1"/>
  <c r="AE879" i="13" s="1"/>
  <c r="Z878" i="13"/>
  <c r="AA878" i="13" s="1"/>
  <c r="T878" i="13"/>
  <c r="V878" i="13" s="1"/>
  <c r="AE878" i="13" s="1"/>
  <c r="Z877" i="13"/>
  <c r="AA877" i="13" s="1"/>
  <c r="T877" i="13"/>
  <c r="V877" i="13" s="1"/>
  <c r="AE877" i="13" s="1"/>
  <c r="Z876" i="13"/>
  <c r="AA876" i="13" s="1"/>
  <c r="T876" i="13"/>
  <c r="V876" i="13" s="1"/>
  <c r="AE876" i="13" s="1"/>
  <c r="Z875" i="13"/>
  <c r="AA875" i="13" s="1"/>
  <c r="T875" i="13"/>
  <c r="U875" i="13" s="1"/>
  <c r="W875" i="13" s="1"/>
  <c r="Z874" i="13"/>
  <c r="AA874" i="13" s="1"/>
  <c r="T874" i="13"/>
  <c r="V874" i="13" s="1"/>
  <c r="AE874" i="13" s="1"/>
  <c r="Z873" i="13"/>
  <c r="AA873" i="13" s="1"/>
  <c r="T873" i="13"/>
  <c r="V873" i="13" s="1"/>
  <c r="AE873" i="13" s="1"/>
  <c r="Z872" i="13"/>
  <c r="AA872" i="13" s="1"/>
  <c r="T872" i="13"/>
  <c r="V872" i="13" s="1"/>
  <c r="AE872" i="13" s="1"/>
  <c r="Z871" i="13"/>
  <c r="AA871" i="13" s="1"/>
  <c r="T871" i="13"/>
  <c r="V871" i="13" s="1"/>
  <c r="AE871" i="13" s="1"/>
  <c r="Z870" i="13"/>
  <c r="AA870" i="13" s="1"/>
  <c r="T870" i="13"/>
  <c r="V870" i="13" s="1"/>
  <c r="AE870" i="13" s="1"/>
  <c r="Z869" i="13"/>
  <c r="AA869" i="13" s="1"/>
  <c r="T869" i="13"/>
  <c r="U869" i="13" s="1"/>
  <c r="W869" i="13" s="1"/>
  <c r="Z868" i="13"/>
  <c r="AA868" i="13" s="1"/>
  <c r="T868" i="13"/>
  <c r="V868" i="13" s="1"/>
  <c r="AE868" i="13" s="1"/>
  <c r="Z867" i="13"/>
  <c r="AA867" i="13" s="1"/>
  <c r="T867" i="13"/>
  <c r="U867" i="13" s="1"/>
  <c r="W867" i="13" s="1"/>
  <c r="Z866" i="13"/>
  <c r="AA866" i="13" s="1"/>
  <c r="T866" i="13"/>
  <c r="V866" i="13" s="1"/>
  <c r="AE866" i="13" s="1"/>
  <c r="Z865" i="13"/>
  <c r="AA865" i="13" s="1"/>
  <c r="T865" i="13"/>
  <c r="U865" i="13" s="1"/>
  <c r="W865" i="13" s="1"/>
  <c r="C866" i="13"/>
  <c r="C867" i="13"/>
  <c r="C868" i="13"/>
  <c r="C869" i="13"/>
  <c r="C870" i="13"/>
  <c r="C871" i="13"/>
  <c r="C872" i="13"/>
  <c r="C873" i="13"/>
  <c r="C874" i="13"/>
  <c r="C875" i="13"/>
  <c r="C876" i="13"/>
  <c r="C877" i="13"/>
  <c r="C878" i="13"/>
  <c r="C879" i="13"/>
  <c r="C880" i="13"/>
  <c r="C881" i="13"/>
  <c r="C882" i="13"/>
  <c r="C883" i="13"/>
  <c r="C884" i="13"/>
  <c r="C885" i="13"/>
  <c r="C886" i="13"/>
  <c r="C887" i="13"/>
  <c r="C888" i="13"/>
  <c r="D866" i="13"/>
  <c r="D867" i="13"/>
  <c r="D868" i="13"/>
  <c r="D869" i="13"/>
  <c r="D870" i="13"/>
  <c r="D871" i="13"/>
  <c r="D872" i="13"/>
  <c r="D873" i="13"/>
  <c r="D874" i="13"/>
  <c r="D875" i="13"/>
  <c r="D876" i="13"/>
  <c r="D877" i="13"/>
  <c r="D878" i="13"/>
  <c r="D879" i="13"/>
  <c r="D880" i="13"/>
  <c r="D881" i="13"/>
  <c r="D882" i="13"/>
  <c r="D883" i="13"/>
  <c r="D884" i="13"/>
  <c r="D885" i="13"/>
  <c r="D886" i="13"/>
  <c r="D887" i="13"/>
  <c r="D888" i="13"/>
  <c r="P866" i="13"/>
  <c r="P867" i="13"/>
  <c r="P868" i="13"/>
  <c r="P869" i="13"/>
  <c r="P870" i="13"/>
  <c r="P871" i="13"/>
  <c r="P872" i="13"/>
  <c r="P873" i="13"/>
  <c r="P874" i="13"/>
  <c r="P875" i="13"/>
  <c r="P876" i="13"/>
  <c r="U866" i="13" l="1"/>
  <c r="W866" i="13" s="1"/>
  <c r="AF866" i="13" s="1"/>
  <c r="U872" i="13"/>
  <c r="W872" i="13" s="1"/>
  <c r="AF872" i="13" s="1"/>
  <c r="V884" i="13"/>
  <c r="AE884" i="13" s="1"/>
  <c r="U888" i="13"/>
  <c r="W888" i="13" s="1"/>
  <c r="U868" i="13"/>
  <c r="W868" i="13" s="1"/>
  <c r="AF868" i="13" s="1"/>
  <c r="U871" i="13"/>
  <c r="W871" i="13" s="1"/>
  <c r="AF871" i="13" s="1"/>
  <c r="U883" i="13"/>
  <c r="W883" i="13" s="1"/>
  <c r="AF883" i="13" s="1"/>
  <c r="V867" i="13"/>
  <c r="AE867" i="13" s="1"/>
  <c r="V875" i="13"/>
  <c r="AE875" i="13" s="1"/>
  <c r="U889" i="13"/>
  <c r="W889" i="13" s="1"/>
  <c r="AF889" i="13" s="1"/>
  <c r="V869" i="13"/>
  <c r="AE869" i="13" s="1"/>
  <c r="U882" i="13"/>
  <c r="W882" i="13" s="1"/>
  <c r="U886" i="13"/>
  <c r="W886" i="13" s="1"/>
  <c r="AF886" i="13" s="1"/>
  <c r="V890" i="13"/>
  <c r="AE890" i="13" s="1"/>
  <c r="U874" i="13"/>
  <c r="W874" i="13" s="1"/>
  <c r="U880" i="13"/>
  <c r="W880" i="13" s="1"/>
  <c r="AF880" i="13" s="1"/>
  <c r="U870" i="13"/>
  <c r="W870" i="13" s="1"/>
  <c r="AF870" i="13" s="1"/>
  <c r="U873" i="13"/>
  <c r="W873" i="13" s="1"/>
  <c r="U892" i="13"/>
  <c r="W892" i="13" s="1"/>
  <c r="AF892" i="13" s="1"/>
  <c r="AF865" i="13"/>
  <c r="AF884" i="13"/>
  <c r="AF875" i="13"/>
  <c r="AF890" i="13"/>
  <c r="AF881" i="13"/>
  <c r="AF867" i="13"/>
  <c r="V894" i="13"/>
  <c r="AE894" i="13" s="1"/>
  <c r="U894" i="13"/>
  <c r="W894" i="13" s="1"/>
  <c r="U877" i="13"/>
  <c r="W877" i="13" s="1"/>
  <c r="U879" i="13"/>
  <c r="W879" i="13" s="1"/>
  <c r="V865" i="13"/>
  <c r="AE865" i="13" s="1"/>
  <c r="AF869" i="13"/>
  <c r="V887" i="13"/>
  <c r="AE887" i="13" s="1"/>
  <c r="U887" i="13"/>
  <c r="W887" i="13" s="1"/>
  <c r="U878" i="13"/>
  <c r="W878" i="13" s="1"/>
  <c r="V881" i="13"/>
  <c r="AE881" i="13" s="1"/>
  <c r="U876" i="13"/>
  <c r="W876" i="13" s="1"/>
  <c r="U893" i="13"/>
  <c r="W893" i="13" s="1"/>
  <c r="U921" i="13"/>
  <c r="W921" i="13" s="1"/>
  <c r="U885" i="13"/>
  <c r="W885" i="13" s="1"/>
  <c r="U891" i="13"/>
  <c r="W891" i="13" s="1"/>
  <c r="AF888" i="13" l="1"/>
  <c r="AF882" i="13"/>
  <c r="AF874" i="13"/>
  <c r="AF873" i="13"/>
  <c r="AF887" i="13"/>
  <c r="AF885" i="13"/>
  <c r="AF894" i="13"/>
  <c r="AF921" i="13"/>
  <c r="AF876" i="13"/>
  <c r="AF879" i="13"/>
  <c r="AF877" i="13"/>
  <c r="AF893" i="13"/>
  <c r="AF891" i="13"/>
  <c r="AF878" i="13"/>
  <c r="C889" i="13" l="1"/>
  <c r="C890" i="13"/>
  <c r="C891" i="13"/>
  <c r="C892" i="13"/>
  <c r="C893" i="13"/>
  <c r="C894" i="13"/>
  <c r="C895" i="13"/>
  <c r="C908" i="13"/>
  <c r="C909" i="13"/>
  <c r="C910" i="13"/>
  <c r="C911" i="13"/>
  <c r="C912" i="13"/>
  <c r="C913" i="13"/>
  <c r="C914" i="13"/>
  <c r="C915" i="13"/>
  <c r="C916" i="13"/>
  <c r="C917" i="13"/>
  <c r="C918" i="13"/>
  <c r="C919" i="13"/>
  <c r="C920" i="13"/>
  <c r="C921" i="13"/>
  <c r="D889" i="13"/>
  <c r="D890" i="13"/>
  <c r="D891" i="13"/>
  <c r="D892" i="13"/>
  <c r="D893" i="13"/>
  <c r="D894" i="13"/>
  <c r="D895" i="13"/>
  <c r="D908" i="13"/>
  <c r="D909" i="13"/>
  <c r="D910" i="13"/>
  <c r="D911" i="13"/>
  <c r="D912" i="13"/>
  <c r="D913" i="13"/>
  <c r="D914" i="13"/>
  <c r="D915" i="13"/>
  <c r="D916" i="13"/>
  <c r="D917" i="13"/>
  <c r="D918" i="13"/>
  <c r="D919" i="13"/>
  <c r="D920" i="13"/>
  <c r="D921" i="13"/>
  <c r="P920" i="13"/>
  <c r="P921" i="13"/>
  <c r="P865" i="13"/>
  <c r="D865" i="13"/>
  <c r="C865" i="13"/>
  <c r="B865" i="13"/>
  <c r="B226" i="13"/>
  <c r="B225" i="13"/>
  <c r="B224" i="13"/>
  <c r="B223" i="13"/>
  <c r="B222" i="13"/>
  <c r="B221" i="13"/>
  <c r="B220" i="13"/>
  <c r="B219" i="13"/>
  <c r="B218" i="13"/>
  <c r="B217" i="13"/>
  <c r="B216" i="13"/>
  <c r="B215" i="13"/>
  <c r="B214" i="13"/>
  <c r="B213" i="13"/>
  <c r="B212" i="13"/>
  <c r="B211" i="13"/>
  <c r="B210" i="13"/>
  <c r="B209" i="13"/>
  <c r="B208" i="13"/>
  <c r="B207" i="13"/>
  <c r="B206" i="13"/>
  <c r="B205" i="13"/>
  <c r="B204" i="13"/>
  <c r="B203" i="13"/>
  <c r="B202" i="13"/>
  <c r="B201" i="13"/>
  <c r="B200" i="13"/>
  <c r="B199" i="13"/>
  <c r="B198" i="13"/>
  <c r="B197" i="13"/>
  <c r="B196" i="13"/>
  <c r="B195" i="13"/>
  <c r="B194" i="13"/>
  <c r="B193" i="13"/>
  <c r="B192" i="13"/>
  <c r="B191" i="13"/>
  <c r="B190" i="13"/>
  <c r="B189" i="13"/>
  <c r="B188" i="13"/>
  <c r="B187" i="13"/>
  <c r="B186" i="13"/>
  <c r="B185" i="13"/>
  <c r="B184" i="13"/>
  <c r="B183" i="13"/>
  <c r="B182" i="13"/>
  <c r="B181" i="13"/>
  <c r="B180" i="13"/>
  <c r="B179" i="13"/>
  <c r="B178" i="13"/>
  <c r="B177" i="13"/>
  <c r="B176" i="13"/>
  <c r="B175" i="13"/>
  <c r="B174" i="13"/>
  <c r="B173" i="13"/>
  <c r="B172" i="13"/>
  <c r="B171" i="13"/>
  <c r="B170" i="13"/>
  <c r="B169" i="13"/>
  <c r="B168" i="13"/>
  <c r="B167" i="13"/>
  <c r="B166" i="13"/>
  <c r="B165" i="13"/>
  <c r="B164" i="13"/>
  <c r="B163" i="13"/>
  <c r="B162" i="13"/>
  <c r="B161" i="13"/>
  <c r="B160" i="13"/>
  <c r="B159" i="13"/>
  <c r="B158" i="13"/>
  <c r="B157" i="13"/>
  <c r="B156" i="13"/>
  <c r="B155" i="13"/>
  <c r="B154" i="13"/>
  <c r="B153" i="13"/>
  <c r="B152" i="13"/>
  <c r="B151" i="13"/>
  <c r="B150" i="13"/>
  <c r="B149" i="13"/>
  <c r="B148" i="13"/>
  <c r="B147" i="13"/>
  <c r="B146" i="13"/>
  <c r="B145" i="13"/>
  <c r="B144" i="13"/>
  <c r="B143" i="13"/>
  <c r="B142" i="13"/>
  <c r="B141" i="13"/>
  <c r="B140" i="13"/>
  <c r="B139" i="13"/>
  <c r="B138" i="13"/>
  <c r="B137" i="13"/>
  <c r="B136" i="13"/>
  <c r="B135" i="13"/>
  <c r="B134" i="13"/>
  <c r="B133" i="13"/>
  <c r="B132" i="13"/>
  <c r="B131" i="13"/>
  <c r="B130" i="13"/>
  <c r="B129" i="13"/>
  <c r="B128" i="13"/>
  <c r="B127" i="13"/>
  <c r="B126" i="13"/>
  <c r="B125" i="13"/>
  <c r="B124" i="13"/>
  <c r="B123" i="13"/>
  <c r="B122" i="13"/>
  <c r="B121" i="13"/>
  <c r="B120" i="13"/>
  <c r="B119" i="13"/>
  <c r="B118" i="13"/>
  <c r="B117" i="13"/>
  <c r="B116" i="13"/>
  <c r="B115" i="13"/>
  <c r="B114" i="13"/>
  <c r="B113" i="13"/>
  <c r="B112" i="13"/>
  <c r="B111" i="13"/>
  <c r="B110" i="13"/>
  <c r="B109" i="13"/>
  <c r="B108" i="13"/>
  <c r="B107" i="13"/>
  <c r="B106" i="13"/>
  <c r="B105" i="13"/>
  <c r="B104" i="13"/>
  <c r="B103" i="13"/>
  <c r="B102" i="13"/>
  <c r="B101" i="13"/>
  <c r="B100" i="13"/>
  <c r="B99" i="13"/>
  <c r="B98" i="13"/>
  <c r="B97" i="13"/>
  <c r="B96" i="13"/>
  <c r="B95" i="13"/>
  <c r="B94" i="13"/>
  <c r="B93" i="13"/>
  <c r="B92" i="13"/>
  <c r="B91" i="13"/>
  <c r="B90" i="13"/>
  <c r="B89" i="13"/>
  <c r="B88" i="13"/>
  <c r="B87" i="13"/>
  <c r="B86" i="13"/>
  <c r="B85" i="13"/>
  <c r="B84" i="13"/>
  <c r="B83" i="13"/>
  <c r="B82" i="13"/>
  <c r="B81" i="13"/>
  <c r="B80" i="13"/>
  <c r="B79" i="13"/>
  <c r="B78" i="13"/>
  <c r="B77" i="13"/>
  <c r="B462" i="13"/>
  <c r="B461" i="13"/>
  <c r="B460" i="13"/>
  <c r="B459" i="13"/>
  <c r="B458" i="13"/>
  <c r="B457" i="13"/>
  <c r="B456" i="13"/>
  <c r="B455" i="13"/>
  <c r="B454" i="13"/>
  <c r="B453" i="13"/>
  <c r="B452" i="13"/>
  <c r="B451" i="13"/>
  <c r="B450" i="13"/>
  <c r="B449" i="13"/>
  <c r="B448" i="13"/>
  <c r="B447" i="13"/>
  <c r="B446" i="13"/>
  <c r="B445" i="13"/>
  <c r="B444" i="13"/>
  <c r="B443" i="13"/>
  <c r="B442" i="13"/>
  <c r="B441" i="13"/>
  <c r="B440" i="13"/>
  <c r="B439" i="13"/>
  <c r="B438" i="13"/>
  <c r="B437" i="13"/>
  <c r="B436" i="13"/>
  <c r="B435" i="13"/>
  <c r="B434" i="13"/>
  <c r="B433" i="13"/>
  <c r="B432" i="13"/>
  <c r="B431" i="13"/>
  <c r="B430" i="13"/>
  <c r="B429" i="13"/>
  <c r="B428" i="13"/>
  <c r="B427" i="13"/>
  <c r="B426" i="13"/>
  <c r="B425" i="13"/>
  <c r="B424" i="13"/>
  <c r="B423" i="13"/>
  <c r="B422" i="13"/>
  <c r="B421" i="13"/>
  <c r="B420" i="13"/>
  <c r="B419" i="13"/>
  <c r="B418" i="13"/>
  <c r="B417" i="13"/>
  <c r="B416" i="13"/>
  <c r="B415" i="13"/>
  <c r="B414" i="13"/>
  <c r="B413" i="13"/>
  <c r="B412" i="13"/>
  <c r="B411" i="13"/>
  <c r="B410" i="13"/>
  <c r="B409" i="13"/>
  <c r="B408" i="13"/>
  <c r="B407" i="13"/>
  <c r="B406" i="13"/>
  <c r="B405" i="13"/>
  <c r="B404" i="13"/>
  <c r="B403" i="13"/>
  <c r="B402" i="13"/>
  <c r="B401" i="13"/>
  <c r="B400" i="13"/>
  <c r="B399" i="13"/>
  <c r="B398" i="13"/>
  <c r="B397" i="13"/>
  <c r="B396" i="13"/>
  <c r="B395" i="13"/>
  <c r="B394" i="13"/>
  <c r="B393" i="13"/>
  <c r="B392" i="13"/>
  <c r="B391" i="13"/>
  <c r="B390" i="13"/>
  <c r="B389" i="13"/>
  <c r="B388" i="13"/>
  <c r="B387" i="13"/>
  <c r="B386" i="13"/>
  <c r="B385" i="13"/>
  <c r="B384" i="13"/>
  <c r="B383" i="13"/>
  <c r="B382" i="13"/>
  <c r="B381" i="13"/>
  <c r="B380" i="13"/>
  <c r="B379" i="13"/>
  <c r="B378" i="13"/>
  <c r="B377" i="13"/>
  <c r="B376" i="13"/>
  <c r="B375" i="13"/>
  <c r="B374" i="13"/>
  <c r="B373" i="13"/>
  <c r="B372" i="13"/>
  <c r="B371" i="13"/>
  <c r="B370" i="13"/>
  <c r="B369" i="13"/>
  <c r="B368" i="13"/>
  <c r="B367" i="13"/>
  <c r="B366" i="13"/>
  <c r="B365" i="13"/>
  <c r="B364" i="13"/>
  <c r="B363" i="13"/>
  <c r="B362" i="13"/>
  <c r="B361" i="13"/>
  <c r="B360" i="13"/>
  <c r="B359" i="13"/>
  <c r="B358" i="13"/>
  <c r="B357" i="13"/>
  <c r="B356" i="13"/>
  <c r="B355" i="13"/>
  <c r="B354" i="13"/>
  <c r="B353" i="13"/>
  <c r="B352" i="13"/>
  <c r="B351" i="13"/>
  <c r="B350" i="13"/>
  <c r="B349" i="13"/>
  <c r="B348" i="13"/>
  <c r="B347" i="13"/>
  <c r="B346" i="13"/>
  <c r="B345" i="13"/>
  <c r="B344" i="13"/>
  <c r="B343" i="13"/>
  <c r="B342" i="13"/>
  <c r="B341" i="13"/>
  <c r="B340" i="13"/>
  <c r="B339" i="13"/>
  <c r="B338" i="13"/>
  <c r="B337" i="13"/>
  <c r="B336" i="13"/>
  <c r="B335" i="13"/>
  <c r="B334" i="13"/>
  <c r="B333" i="13"/>
  <c r="B332" i="13"/>
  <c r="B331" i="13"/>
  <c r="B330" i="13"/>
  <c r="B329" i="13"/>
  <c r="B328" i="13"/>
  <c r="B327" i="13"/>
  <c r="B326" i="13"/>
  <c r="B325" i="13"/>
  <c r="B324" i="13"/>
  <c r="B323" i="13"/>
  <c r="B322" i="13"/>
  <c r="B321" i="13"/>
  <c r="B320" i="13"/>
  <c r="B319" i="13"/>
  <c r="B318" i="13"/>
  <c r="B317" i="13"/>
  <c r="B316" i="13"/>
  <c r="B315" i="13"/>
  <c r="B314" i="13"/>
  <c r="B313" i="13"/>
  <c r="B312" i="13"/>
  <c r="B311" i="13"/>
  <c r="B310" i="13"/>
  <c r="B309" i="13"/>
  <c r="B308" i="13"/>
  <c r="B307" i="13"/>
  <c r="B306" i="13"/>
  <c r="B305" i="13"/>
  <c r="B304" i="13"/>
  <c r="B303" i="13"/>
  <c r="B302" i="13"/>
  <c r="B301" i="13"/>
  <c r="B300" i="13"/>
  <c r="B299" i="13"/>
  <c r="B298" i="13"/>
  <c r="B297" i="13"/>
  <c r="B296" i="13"/>
  <c r="B295" i="13"/>
  <c r="B294" i="13"/>
  <c r="B293" i="13"/>
  <c r="B292" i="13"/>
  <c r="B291" i="13"/>
  <c r="B290" i="13"/>
  <c r="B289" i="13"/>
  <c r="B288" i="13"/>
  <c r="B287" i="13"/>
  <c r="B286" i="13"/>
  <c r="B285" i="13"/>
  <c r="B284" i="13"/>
  <c r="B283" i="13"/>
  <c r="B282" i="13"/>
  <c r="B281" i="13"/>
  <c r="B280" i="13"/>
  <c r="B279" i="13"/>
  <c r="B278" i="13"/>
  <c r="B277" i="13"/>
  <c r="B276" i="13"/>
  <c r="B275" i="13"/>
  <c r="B274" i="13"/>
  <c r="B273" i="13"/>
  <c r="B272" i="13"/>
  <c r="B271" i="13"/>
  <c r="B270" i="13"/>
  <c r="B269" i="13"/>
  <c r="B268" i="13"/>
  <c r="B267" i="13"/>
  <c r="B266" i="13"/>
  <c r="B265" i="13"/>
  <c r="B264" i="13"/>
  <c r="B263" i="13"/>
  <c r="B262" i="13"/>
  <c r="B261" i="13"/>
  <c r="B260" i="13"/>
  <c r="B259" i="13"/>
  <c r="B258" i="13"/>
  <c r="B257" i="13"/>
  <c r="B256" i="13"/>
  <c r="B255" i="13"/>
  <c r="B864" i="13"/>
  <c r="B863" i="13"/>
  <c r="B862" i="13"/>
  <c r="B861" i="13"/>
  <c r="B860" i="13"/>
  <c r="B859" i="13"/>
  <c r="B858" i="13"/>
  <c r="B857" i="13"/>
  <c r="B856" i="13"/>
  <c r="B855" i="13"/>
  <c r="B854" i="13"/>
  <c r="B853" i="13"/>
  <c r="B852" i="13"/>
  <c r="B851" i="13"/>
  <c r="B850" i="13"/>
  <c r="B849" i="13"/>
  <c r="B848" i="13"/>
  <c r="B847" i="13"/>
  <c r="B846" i="13"/>
  <c r="B845" i="13"/>
  <c r="B844" i="13"/>
  <c r="B843" i="13"/>
  <c r="B842" i="13"/>
  <c r="B841" i="13"/>
  <c r="B840" i="13"/>
  <c r="B839" i="13"/>
  <c r="B838" i="13"/>
  <c r="B837" i="13"/>
  <c r="B836" i="13"/>
  <c r="B835" i="13"/>
  <c r="B834" i="13"/>
  <c r="B833" i="13"/>
  <c r="B832" i="13"/>
  <c r="B831" i="13"/>
  <c r="B830" i="13"/>
  <c r="B829" i="13"/>
  <c r="B828" i="13"/>
  <c r="B827" i="13"/>
  <c r="B826" i="13"/>
  <c r="B825" i="13"/>
  <c r="B824" i="13"/>
  <c r="B823" i="13"/>
  <c r="B822" i="13"/>
  <c r="B821" i="13"/>
  <c r="B820" i="13"/>
  <c r="B819" i="13"/>
  <c r="B818" i="13"/>
  <c r="B817" i="13"/>
  <c r="B816" i="13"/>
  <c r="B815" i="13"/>
  <c r="B814" i="13"/>
  <c r="B813" i="13"/>
  <c r="B812" i="13"/>
  <c r="B811" i="13"/>
  <c r="B810" i="13"/>
  <c r="B809" i="13"/>
  <c r="B808" i="13"/>
  <c r="B807" i="13"/>
  <c r="B806" i="13"/>
  <c r="B805" i="13"/>
  <c r="B804" i="13"/>
  <c r="B803" i="13"/>
  <c r="B802" i="13"/>
  <c r="B801" i="13"/>
  <c r="B800" i="13"/>
  <c r="B799" i="13"/>
  <c r="B798" i="13"/>
  <c r="B797" i="13"/>
  <c r="B796" i="13"/>
  <c r="B795" i="13"/>
  <c r="B794" i="13"/>
  <c r="B793" i="13"/>
  <c r="B792" i="13"/>
  <c r="B791" i="13"/>
  <c r="B790" i="13"/>
  <c r="B789" i="13"/>
  <c r="B788" i="13"/>
  <c r="B787" i="13"/>
  <c r="B786" i="13"/>
  <c r="B785" i="13"/>
  <c r="B784" i="13"/>
  <c r="B783" i="13"/>
  <c r="B782" i="13"/>
  <c r="B781" i="13"/>
  <c r="B780" i="13"/>
  <c r="B779" i="13"/>
  <c r="B778" i="13"/>
  <c r="B777" i="13"/>
  <c r="B776" i="13"/>
  <c r="B775" i="13"/>
  <c r="B774" i="13"/>
  <c r="B773" i="13"/>
  <c r="B772" i="13"/>
  <c r="B771" i="13"/>
  <c r="B770" i="13"/>
  <c r="B769" i="13"/>
  <c r="B768" i="13"/>
  <c r="B767" i="13"/>
  <c r="B766" i="13"/>
  <c r="B765" i="13"/>
  <c r="B764" i="13"/>
  <c r="B763" i="13"/>
  <c r="B762" i="13"/>
  <c r="B761" i="13"/>
  <c r="B760" i="13"/>
  <c r="B759" i="13"/>
  <c r="B758" i="13"/>
  <c r="B757" i="13"/>
  <c r="B756" i="13"/>
  <c r="B755" i="13"/>
  <c r="B754" i="13"/>
  <c r="B753" i="13"/>
  <c r="B752" i="13"/>
  <c r="B751" i="13"/>
  <c r="B750" i="13"/>
  <c r="B749" i="13"/>
  <c r="B748" i="13"/>
  <c r="B747" i="13"/>
  <c r="B746" i="13"/>
  <c r="B745" i="13"/>
  <c r="B744" i="13"/>
  <c r="B743" i="13"/>
  <c r="B742" i="13"/>
  <c r="B741" i="13"/>
  <c r="B740" i="13"/>
  <c r="B738" i="13"/>
  <c r="B737" i="13"/>
  <c r="B736" i="13"/>
  <c r="B735" i="13"/>
  <c r="B734" i="13"/>
  <c r="B733" i="13"/>
  <c r="B732" i="13"/>
  <c r="B731" i="13"/>
  <c r="B730" i="13"/>
  <c r="B729" i="13"/>
  <c r="B728" i="13"/>
  <c r="B727" i="13"/>
  <c r="B726" i="13"/>
  <c r="B725" i="13"/>
  <c r="B724" i="13"/>
  <c r="B723" i="13"/>
  <c r="B722" i="13"/>
  <c r="B721" i="13"/>
  <c r="B720" i="13"/>
  <c r="B719" i="13"/>
  <c r="B718" i="13"/>
  <c r="B717" i="13"/>
  <c r="B716" i="13"/>
  <c r="B715" i="13"/>
  <c r="B714" i="13"/>
  <c r="B713" i="13"/>
  <c r="B712" i="13"/>
  <c r="B711" i="13"/>
  <c r="B710" i="13"/>
  <c r="B709" i="13"/>
  <c r="B708" i="13"/>
  <c r="B707" i="13"/>
  <c r="B706" i="13"/>
  <c r="B705" i="13"/>
  <c r="B704" i="13"/>
  <c r="B703" i="13"/>
  <c r="B702" i="13"/>
  <c r="B701" i="13"/>
  <c r="B700" i="13"/>
  <c r="B699" i="13"/>
  <c r="B698" i="13"/>
  <c r="B697" i="13"/>
  <c r="B696" i="13"/>
  <c r="B695" i="13"/>
  <c r="B694" i="13"/>
  <c r="B693" i="13"/>
  <c r="B692" i="13"/>
  <c r="B691" i="13"/>
  <c r="B690" i="13"/>
  <c r="B689" i="13"/>
  <c r="B688" i="13"/>
  <c r="B687" i="13"/>
  <c r="B686" i="13"/>
  <c r="B685" i="13"/>
  <c r="B684" i="13"/>
  <c r="B683" i="13"/>
  <c r="B682" i="13"/>
  <c r="B681" i="13"/>
  <c r="B680" i="13"/>
  <c r="B679" i="13"/>
  <c r="B678" i="13"/>
  <c r="B677" i="13"/>
  <c r="B676" i="13"/>
  <c r="B675" i="13"/>
  <c r="B674" i="13"/>
  <c r="B673" i="13"/>
  <c r="B672" i="13"/>
  <c r="B671" i="13"/>
  <c r="B670" i="13"/>
  <c r="B669" i="13"/>
  <c r="B668" i="13"/>
  <c r="B667" i="13"/>
  <c r="B666" i="13"/>
  <c r="B665" i="13"/>
  <c r="B664" i="13"/>
  <c r="B663" i="13"/>
  <c r="B662" i="13"/>
  <c r="B661" i="13"/>
  <c r="B660" i="13"/>
  <c r="B659" i="13"/>
  <c r="B658" i="13"/>
  <c r="B657" i="13"/>
  <c r="B656" i="13"/>
  <c r="B655" i="13"/>
  <c r="B654" i="13"/>
  <c r="B653" i="13"/>
  <c r="B652" i="13"/>
  <c r="B651" i="13"/>
  <c r="B650" i="13"/>
  <c r="B649" i="13"/>
  <c r="B648" i="13"/>
  <c r="B647" i="13"/>
  <c r="B646" i="13"/>
  <c r="B645" i="13"/>
  <c r="B644" i="13"/>
  <c r="B643" i="13"/>
  <c r="B642" i="13"/>
  <c r="B641" i="13"/>
  <c r="B640" i="13"/>
  <c r="B639" i="13"/>
  <c r="B638" i="13"/>
  <c r="B637" i="13"/>
  <c r="B636" i="13"/>
  <c r="B635" i="13"/>
  <c r="B634" i="13"/>
  <c r="B633" i="13"/>
  <c r="B632" i="13"/>
  <c r="B631" i="13"/>
  <c r="B630" i="13"/>
  <c r="B629" i="13"/>
  <c r="B628" i="13"/>
  <c r="B627" i="13"/>
  <c r="B626" i="13"/>
  <c r="B625" i="13"/>
  <c r="B624" i="13"/>
  <c r="B623" i="13"/>
  <c r="B622" i="13"/>
  <c r="B621" i="13"/>
  <c r="B620" i="13"/>
  <c r="B619" i="13"/>
  <c r="B618" i="13"/>
  <c r="B617" i="13"/>
  <c r="B616" i="13"/>
  <c r="B615" i="13"/>
  <c r="B614" i="13"/>
  <c r="B613" i="13"/>
  <c r="B612" i="13"/>
  <c r="B611" i="13"/>
  <c r="B610" i="13"/>
  <c r="B609" i="13"/>
  <c r="B608" i="13"/>
  <c r="B607" i="13"/>
  <c r="B606" i="13"/>
  <c r="B605" i="13"/>
  <c r="B604" i="13"/>
  <c r="B603" i="13"/>
  <c r="B602" i="13"/>
  <c r="B601" i="13"/>
  <c r="B600" i="13"/>
  <c r="B599" i="13"/>
  <c r="B598" i="13"/>
  <c r="B597" i="13"/>
  <c r="B596" i="13"/>
  <c r="B595" i="13"/>
  <c r="B594" i="13"/>
  <c r="B593" i="13"/>
  <c r="B592" i="13"/>
  <c r="B591" i="13"/>
  <c r="B590" i="13"/>
  <c r="B589" i="13"/>
  <c r="B588" i="13"/>
  <c r="B587" i="13"/>
  <c r="B586" i="13"/>
  <c r="B585" i="13"/>
  <c r="B584" i="13"/>
  <c r="B583" i="13"/>
  <c r="B582" i="13"/>
  <c r="B581" i="13"/>
  <c r="B580" i="13"/>
  <c r="B579" i="13"/>
  <c r="B578" i="13"/>
  <c r="B577" i="13"/>
  <c r="B576" i="13"/>
  <c r="B575" i="13"/>
  <c r="B574" i="13"/>
  <c r="B573" i="13"/>
  <c r="B572" i="13"/>
  <c r="B571" i="13"/>
  <c r="B570" i="13"/>
  <c r="B569" i="13"/>
  <c r="B568" i="13"/>
  <c r="B567" i="13"/>
  <c r="B566" i="13"/>
  <c r="B565" i="13"/>
  <c r="B564" i="13"/>
  <c r="B563" i="13"/>
  <c r="B562" i="13"/>
  <c r="B561" i="13"/>
  <c r="B560" i="13"/>
  <c r="B559" i="13"/>
  <c r="B558" i="13"/>
  <c r="B557" i="13"/>
  <c r="B556" i="13"/>
  <c r="B555" i="13"/>
  <c r="B554" i="13"/>
  <c r="B553" i="13"/>
  <c r="B552" i="13"/>
  <c r="B551" i="13"/>
  <c r="B550" i="13"/>
  <c r="B549" i="13"/>
  <c r="B548" i="13"/>
  <c r="B547" i="13"/>
  <c r="B546" i="13"/>
  <c r="B545" i="13"/>
  <c r="B544" i="13"/>
  <c r="B543" i="13"/>
  <c r="B542" i="13"/>
  <c r="B541" i="13"/>
  <c r="B540" i="13"/>
  <c r="B539" i="13"/>
  <c r="B538" i="13"/>
  <c r="B537" i="13"/>
  <c r="B536" i="13"/>
  <c r="B535" i="13"/>
  <c r="B534" i="13"/>
  <c r="B533" i="13"/>
  <c r="B532" i="13"/>
  <c r="B531" i="13"/>
  <c r="B530" i="13"/>
  <c r="B529" i="13"/>
  <c r="B528" i="13"/>
  <c r="B527" i="13"/>
  <c r="B526" i="13"/>
  <c r="B525" i="13"/>
  <c r="B524" i="13"/>
  <c r="B523" i="13"/>
  <c r="B522" i="13"/>
  <c r="B521" i="13"/>
  <c r="B520" i="13"/>
  <c r="B519" i="13"/>
  <c r="B518" i="13"/>
  <c r="B517" i="13"/>
  <c r="B516" i="13"/>
  <c r="B515" i="13"/>
  <c r="B514" i="13"/>
  <c r="B513" i="13"/>
  <c r="B512" i="13"/>
  <c r="B511" i="13"/>
  <c r="B510" i="13"/>
  <c r="B509" i="13"/>
  <c r="B508" i="13"/>
  <c r="B507" i="13"/>
  <c r="B506" i="13"/>
  <c r="B505" i="13"/>
  <c r="B504" i="13"/>
  <c r="B503" i="13"/>
  <c r="B502" i="13"/>
  <c r="B501" i="13"/>
  <c r="B500" i="13"/>
  <c r="B499" i="13"/>
  <c r="B498" i="13"/>
  <c r="B497" i="13"/>
  <c r="B496" i="13"/>
  <c r="B495" i="13"/>
  <c r="B494" i="13"/>
  <c r="B493" i="13"/>
  <c r="B492" i="13"/>
  <c r="B491" i="13"/>
  <c r="B490" i="13"/>
  <c r="B489" i="13"/>
  <c r="B488" i="13"/>
  <c r="B487" i="13"/>
  <c r="B486" i="13"/>
  <c r="B485" i="13"/>
  <c r="B484" i="13"/>
  <c r="B483" i="13"/>
  <c r="B482" i="13"/>
  <c r="B481" i="13"/>
  <c r="B480" i="13"/>
  <c r="B479" i="13"/>
  <c r="B478" i="13"/>
  <c r="B477" i="13"/>
  <c r="B476" i="13"/>
  <c r="B475" i="13"/>
  <c r="B474" i="13"/>
  <c r="B473" i="13"/>
  <c r="B472" i="13"/>
  <c r="B471" i="13"/>
  <c r="B470" i="13"/>
  <c r="B469" i="13"/>
  <c r="B468" i="13"/>
  <c r="B467" i="13"/>
  <c r="B466" i="13"/>
  <c r="B465" i="13"/>
  <c r="B464" i="13"/>
  <c r="B463" i="13"/>
  <c r="B76" i="13"/>
  <c r="B75" i="13"/>
  <c r="B74" i="13"/>
  <c r="B73" i="13"/>
  <c r="B72" i="13"/>
  <c r="B71" i="13"/>
  <c r="B70" i="13"/>
  <c r="B69" i="13"/>
  <c r="B68" i="13"/>
  <c r="B67" i="13"/>
  <c r="B66" i="13"/>
  <c r="B65" i="13"/>
  <c r="B64" i="13"/>
  <c r="B63" i="13"/>
  <c r="B62" i="13"/>
  <c r="B61" i="13"/>
  <c r="B60" i="13"/>
  <c r="B59" i="13"/>
  <c r="B58" i="13"/>
  <c r="B57" i="13"/>
  <c r="B56" i="13"/>
  <c r="B55" i="13"/>
  <c r="B54" i="13"/>
  <c r="B53" i="13"/>
  <c r="B52" i="13"/>
  <c r="B51" i="13"/>
  <c r="B50" i="13"/>
  <c r="B49" i="13"/>
  <c r="B48" i="13"/>
  <c r="B47" i="13"/>
  <c r="B46" i="13"/>
  <c r="B45" i="13"/>
  <c r="B44" i="13"/>
  <c r="B43" i="13"/>
  <c r="B42" i="13"/>
  <c r="B41" i="13"/>
  <c r="B40" i="13"/>
  <c r="B39" i="13"/>
  <c r="B38" i="13"/>
  <c r="B37" i="13"/>
  <c r="B36" i="13"/>
  <c r="B35" i="13"/>
  <c r="B34" i="13"/>
  <c r="B33" i="13"/>
  <c r="B32" i="13"/>
  <c r="B31" i="13"/>
  <c r="B30" i="13"/>
  <c r="B29" i="13"/>
  <c r="B28" i="13"/>
  <c r="B27" i="13"/>
  <c r="B26" i="13"/>
  <c r="B25" i="13"/>
  <c r="B24" i="13"/>
  <c r="B23" i="13"/>
  <c r="B22" i="13"/>
  <c r="B21" i="13"/>
  <c r="B20" i="13"/>
  <c r="B19" i="13"/>
  <c r="B18" i="13"/>
  <c r="B17" i="13"/>
  <c r="B16" i="13"/>
  <c r="B15" i="13"/>
  <c r="B14" i="13"/>
  <c r="B13" i="13"/>
  <c r="B12" i="13"/>
  <c r="B11" i="13"/>
  <c r="B10" i="13"/>
  <c r="B9" i="13"/>
  <c r="B8" i="13"/>
  <c r="B7" i="13"/>
  <c r="B6" i="13"/>
  <c r="B5" i="13"/>
  <c r="P227" i="13" l="1"/>
  <c r="P228" i="13"/>
  <c r="P229" i="13"/>
  <c r="P230" i="13"/>
  <c r="P231" i="13"/>
  <c r="P232" i="13"/>
  <c r="P233" i="13"/>
  <c r="P234" i="13"/>
  <c r="P235" i="13"/>
  <c r="P236" i="13"/>
  <c r="P237" i="13"/>
  <c r="P238" i="13"/>
  <c r="P239" i="13"/>
  <c r="P240" i="13"/>
  <c r="P241" i="13"/>
  <c r="P242" i="13"/>
  <c r="P243" i="13"/>
  <c r="P244" i="13"/>
  <c r="P245" i="13"/>
  <c r="P246" i="13"/>
  <c r="P247" i="13"/>
  <c r="P248" i="13"/>
  <c r="P249" i="13"/>
  <c r="P250" i="13"/>
  <c r="P251" i="13"/>
  <c r="P252" i="13"/>
  <c r="P253" i="13"/>
  <c r="P254" i="13"/>
  <c r="P5" i="13"/>
  <c r="P6" i="13"/>
  <c r="P7" i="13"/>
  <c r="P8" i="13"/>
  <c r="P9" i="13"/>
  <c r="P10" i="13"/>
  <c r="P11" i="13"/>
  <c r="P12" i="13"/>
  <c r="P13" i="13"/>
  <c r="P14" i="13"/>
  <c r="P15" i="13"/>
  <c r="P16" i="13"/>
  <c r="P17" i="13"/>
  <c r="P18" i="13"/>
  <c r="P19" i="13"/>
  <c r="P20" i="13"/>
  <c r="P21" i="13"/>
  <c r="P22" i="13"/>
  <c r="P23" i="13"/>
  <c r="P24" i="13"/>
  <c r="P25" i="13"/>
  <c r="P26" i="13"/>
  <c r="P27" i="13"/>
  <c r="P28" i="13"/>
  <c r="P29" i="13"/>
  <c r="P30" i="13"/>
  <c r="P31" i="13"/>
  <c r="P32" i="13"/>
  <c r="P33" i="13"/>
  <c r="P34" i="13"/>
  <c r="P35" i="13"/>
  <c r="P36" i="13"/>
  <c r="P37" i="13"/>
  <c r="P38" i="13"/>
  <c r="P39" i="13"/>
  <c r="P40" i="13"/>
  <c r="P41" i="13"/>
  <c r="P42" i="13"/>
  <c r="P43" i="13"/>
  <c r="P44" i="13"/>
  <c r="P45" i="13"/>
  <c r="P46" i="13"/>
  <c r="P47" i="13"/>
  <c r="P48" i="13"/>
  <c r="P49" i="13"/>
  <c r="P50" i="13"/>
  <c r="P51" i="13"/>
  <c r="P52" i="13"/>
  <c r="P53" i="13"/>
  <c r="P54" i="13"/>
  <c r="P55" i="13"/>
  <c r="P56" i="13"/>
  <c r="P57" i="13"/>
  <c r="P58" i="13"/>
  <c r="P59" i="13"/>
  <c r="P60" i="13"/>
  <c r="P61" i="13"/>
  <c r="P62" i="13"/>
  <c r="P63" i="13"/>
  <c r="P64" i="13"/>
  <c r="P65" i="13"/>
  <c r="P66" i="13"/>
  <c r="P67" i="13"/>
  <c r="P68" i="13"/>
  <c r="P69" i="13"/>
  <c r="P70" i="13"/>
  <c r="P71" i="13"/>
  <c r="P72" i="13"/>
  <c r="P73" i="13"/>
  <c r="P74" i="13"/>
  <c r="P75" i="13"/>
  <c r="P76" i="13"/>
  <c r="P463" i="13"/>
  <c r="P464" i="13"/>
  <c r="P465" i="13"/>
  <c r="P466" i="13"/>
  <c r="P467" i="13"/>
  <c r="P468" i="13"/>
  <c r="P469" i="13"/>
  <c r="P470" i="13"/>
  <c r="P471" i="13"/>
  <c r="P472" i="13"/>
  <c r="P473" i="13"/>
  <c r="P474" i="13"/>
  <c r="P475" i="13"/>
  <c r="P476" i="13"/>
  <c r="P477" i="13"/>
  <c r="P478" i="13"/>
  <c r="P479" i="13"/>
  <c r="P480" i="13"/>
  <c r="P481" i="13"/>
  <c r="P482" i="13"/>
  <c r="P483" i="13"/>
  <c r="P484" i="13"/>
  <c r="P485" i="13"/>
  <c r="P486" i="13"/>
  <c r="P487" i="13"/>
  <c r="P488" i="13"/>
  <c r="P489" i="13"/>
  <c r="P490" i="13"/>
  <c r="P491" i="13"/>
  <c r="P492" i="13"/>
  <c r="P493" i="13"/>
  <c r="P494" i="13"/>
  <c r="P495" i="13"/>
  <c r="P496" i="13"/>
  <c r="P497" i="13"/>
  <c r="P498" i="13"/>
  <c r="P499" i="13"/>
  <c r="P500" i="13"/>
  <c r="P501" i="13"/>
  <c r="P502" i="13"/>
  <c r="P503" i="13"/>
  <c r="P504" i="13"/>
  <c r="P505" i="13"/>
  <c r="P506" i="13"/>
  <c r="P507" i="13"/>
  <c r="P508" i="13"/>
  <c r="P509" i="13"/>
  <c r="P510" i="13"/>
  <c r="P511" i="13"/>
  <c r="P512" i="13"/>
  <c r="P513" i="13"/>
  <c r="P514" i="13"/>
  <c r="P515" i="13"/>
  <c r="P516" i="13"/>
  <c r="P517" i="13"/>
  <c r="P518" i="13"/>
  <c r="P519" i="13"/>
  <c r="P520" i="13"/>
  <c r="P521" i="13"/>
  <c r="P522" i="13"/>
  <c r="P523" i="13"/>
  <c r="P524" i="13"/>
  <c r="P525" i="13"/>
  <c r="P526" i="13"/>
  <c r="P527" i="13"/>
  <c r="P528" i="13"/>
  <c r="P529" i="13"/>
  <c r="P530" i="13"/>
  <c r="P531" i="13"/>
  <c r="P532" i="13"/>
  <c r="P533" i="13"/>
  <c r="P534" i="13"/>
  <c r="P535" i="13"/>
  <c r="P536" i="13"/>
  <c r="P537" i="13"/>
  <c r="P538" i="13"/>
  <c r="P539" i="13"/>
  <c r="P540" i="13"/>
  <c r="P541" i="13"/>
  <c r="P542" i="13"/>
  <c r="P543" i="13"/>
  <c r="P544" i="13"/>
  <c r="P545" i="13"/>
  <c r="P546" i="13"/>
  <c r="P547" i="13"/>
  <c r="P548" i="13"/>
  <c r="P549" i="13"/>
  <c r="P550" i="13"/>
  <c r="P551" i="13"/>
  <c r="P552" i="13"/>
  <c r="P553" i="13"/>
  <c r="P554" i="13"/>
  <c r="P555" i="13"/>
  <c r="P556" i="13"/>
  <c r="P557" i="13"/>
  <c r="P558" i="13"/>
  <c r="P559" i="13"/>
  <c r="P560" i="13"/>
  <c r="P561" i="13"/>
  <c r="P562" i="13"/>
  <c r="P563" i="13"/>
  <c r="P564" i="13"/>
  <c r="P565" i="13"/>
  <c r="P566" i="13"/>
  <c r="P567" i="13"/>
  <c r="P568" i="13"/>
  <c r="P569" i="13"/>
  <c r="P570" i="13"/>
  <c r="P571" i="13"/>
  <c r="P572" i="13"/>
  <c r="P573" i="13"/>
  <c r="P574" i="13"/>
  <c r="P575" i="13"/>
  <c r="P576" i="13"/>
  <c r="P577" i="13"/>
  <c r="P578" i="13"/>
  <c r="P579" i="13"/>
  <c r="P580" i="13"/>
  <c r="P581" i="13"/>
  <c r="P582" i="13"/>
  <c r="P583" i="13"/>
  <c r="P584" i="13"/>
  <c r="P585" i="13"/>
  <c r="P586" i="13"/>
  <c r="P587" i="13"/>
  <c r="P588" i="13"/>
  <c r="P589" i="13"/>
  <c r="P590" i="13"/>
  <c r="P591" i="13"/>
  <c r="P592" i="13"/>
  <c r="P593" i="13"/>
  <c r="P594" i="13"/>
  <c r="P595" i="13"/>
  <c r="P596" i="13"/>
  <c r="P597" i="13"/>
  <c r="P598" i="13"/>
  <c r="P599" i="13"/>
  <c r="P600" i="13"/>
  <c r="P601" i="13"/>
  <c r="P602" i="13"/>
  <c r="P603" i="13"/>
  <c r="P604" i="13"/>
  <c r="P605" i="13"/>
  <c r="P606" i="13"/>
  <c r="P607" i="13"/>
  <c r="P608" i="13"/>
  <c r="P609" i="13"/>
  <c r="P610" i="13"/>
  <c r="P611" i="13"/>
  <c r="P612" i="13"/>
  <c r="P613" i="13"/>
  <c r="P614" i="13"/>
  <c r="P615" i="13"/>
  <c r="P616" i="13"/>
  <c r="P617" i="13"/>
  <c r="P618" i="13"/>
  <c r="P619" i="13"/>
  <c r="P620" i="13"/>
  <c r="P621" i="13"/>
  <c r="P622" i="13"/>
  <c r="P623" i="13"/>
  <c r="P624" i="13"/>
  <c r="P625" i="13"/>
  <c r="P626" i="13"/>
  <c r="P627" i="13"/>
  <c r="P628" i="13"/>
  <c r="P629" i="13"/>
  <c r="P630" i="13"/>
  <c r="P631" i="13"/>
  <c r="P632" i="13"/>
  <c r="P633" i="13"/>
  <c r="P634" i="13"/>
  <c r="P635" i="13"/>
  <c r="P636" i="13"/>
  <c r="P637" i="13"/>
  <c r="P638" i="13"/>
  <c r="P639" i="13"/>
  <c r="P640" i="13"/>
  <c r="P641" i="13"/>
  <c r="P642" i="13"/>
  <c r="P643" i="13"/>
  <c r="P644" i="13"/>
  <c r="P645" i="13"/>
  <c r="P646" i="13"/>
  <c r="P647" i="13"/>
  <c r="P648" i="13"/>
  <c r="P649" i="13"/>
  <c r="P650" i="13"/>
  <c r="P651" i="13"/>
  <c r="P652" i="13"/>
  <c r="P653" i="13"/>
  <c r="P654" i="13"/>
  <c r="P655" i="13"/>
  <c r="P656" i="13"/>
  <c r="P657" i="13"/>
  <c r="P658" i="13"/>
  <c r="P659" i="13"/>
  <c r="P660" i="13"/>
  <c r="P661" i="13"/>
  <c r="P662" i="13"/>
  <c r="P663" i="13"/>
  <c r="P664" i="13"/>
  <c r="P665" i="13"/>
  <c r="P666" i="13"/>
  <c r="P667" i="13"/>
  <c r="P668" i="13"/>
  <c r="P669" i="13"/>
  <c r="P670" i="13"/>
  <c r="P671" i="13"/>
  <c r="P672" i="13"/>
  <c r="P673" i="13"/>
  <c r="P674" i="13"/>
  <c r="P675" i="13"/>
  <c r="P676" i="13"/>
  <c r="P677" i="13"/>
  <c r="P678" i="13"/>
  <c r="P679" i="13"/>
  <c r="P680" i="13"/>
  <c r="P681" i="13"/>
  <c r="P682" i="13"/>
  <c r="P683" i="13"/>
  <c r="P684" i="13"/>
  <c r="P685" i="13"/>
  <c r="P686" i="13"/>
  <c r="P687" i="13"/>
  <c r="P688" i="13"/>
  <c r="P689" i="13"/>
  <c r="P690" i="13"/>
  <c r="P691" i="13"/>
  <c r="P692" i="13"/>
  <c r="P693" i="13"/>
  <c r="P694" i="13"/>
  <c r="P695" i="13"/>
  <c r="P696" i="13"/>
  <c r="P697" i="13"/>
  <c r="P698" i="13"/>
  <c r="P699" i="13"/>
  <c r="P700" i="13"/>
  <c r="P701" i="13"/>
  <c r="P702" i="13"/>
  <c r="P703" i="13"/>
  <c r="P704" i="13"/>
  <c r="P705" i="13"/>
  <c r="P706" i="13"/>
  <c r="P707" i="13"/>
  <c r="P708" i="13"/>
  <c r="P709" i="13"/>
  <c r="P710" i="13"/>
  <c r="P711" i="13"/>
  <c r="P712" i="13"/>
  <c r="P713" i="13"/>
  <c r="P714" i="13"/>
  <c r="P715" i="13"/>
  <c r="P716" i="13"/>
  <c r="P717" i="13"/>
  <c r="P718" i="13"/>
  <c r="P719" i="13"/>
  <c r="P720" i="13"/>
  <c r="P721" i="13"/>
  <c r="P722" i="13"/>
  <c r="P723" i="13"/>
  <c r="P724" i="13"/>
  <c r="P725" i="13"/>
  <c r="P726" i="13"/>
  <c r="P727" i="13"/>
  <c r="P728" i="13"/>
  <c r="P729" i="13"/>
  <c r="P730" i="13"/>
  <c r="P731" i="13"/>
  <c r="P732" i="13"/>
  <c r="P733" i="13"/>
  <c r="P734" i="13"/>
  <c r="P735" i="13"/>
  <c r="P736" i="13"/>
  <c r="P737" i="13"/>
  <c r="P738" i="13"/>
  <c r="P740" i="13"/>
  <c r="P741" i="13"/>
  <c r="P742" i="13"/>
  <c r="P743" i="13"/>
  <c r="P744" i="13"/>
  <c r="P745" i="13"/>
  <c r="P746" i="13"/>
  <c r="P747" i="13"/>
  <c r="P748" i="13"/>
  <c r="P749" i="13"/>
  <c r="P750" i="13"/>
  <c r="P751" i="13"/>
  <c r="P752" i="13"/>
  <c r="P753" i="13"/>
  <c r="P754" i="13"/>
  <c r="P755" i="13"/>
  <c r="P756" i="13"/>
  <c r="P757" i="13"/>
  <c r="P758" i="13"/>
  <c r="P759" i="13"/>
  <c r="P760" i="13"/>
  <c r="P761" i="13"/>
  <c r="P762" i="13"/>
  <c r="P763" i="13"/>
  <c r="P764" i="13"/>
  <c r="P765" i="13"/>
  <c r="P766" i="13"/>
  <c r="P767" i="13"/>
  <c r="P768" i="13"/>
  <c r="P769" i="13"/>
  <c r="P770" i="13"/>
  <c r="P771" i="13"/>
  <c r="P772" i="13"/>
  <c r="P773" i="13"/>
  <c r="P774" i="13"/>
  <c r="P775" i="13"/>
  <c r="P776" i="13"/>
  <c r="P777" i="13"/>
  <c r="P778" i="13"/>
  <c r="P779" i="13"/>
  <c r="P780" i="13"/>
  <c r="P781" i="13"/>
  <c r="P782" i="13"/>
  <c r="P783" i="13"/>
  <c r="P784" i="13"/>
  <c r="P785" i="13"/>
  <c r="P786" i="13"/>
  <c r="P787" i="13"/>
  <c r="P788" i="13"/>
  <c r="P789" i="13"/>
  <c r="P790" i="13"/>
  <c r="P791" i="13"/>
  <c r="P792" i="13"/>
  <c r="P793" i="13"/>
  <c r="P794" i="13"/>
  <c r="P795" i="13"/>
  <c r="P796" i="13"/>
  <c r="P797" i="13"/>
  <c r="P798" i="13"/>
  <c r="P799" i="13"/>
  <c r="P800" i="13"/>
  <c r="P801" i="13"/>
  <c r="P802" i="13"/>
  <c r="P803" i="13"/>
  <c r="P804" i="13"/>
  <c r="P805" i="13"/>
  <c r="P806" i="13"/>
  <c r="P807" i="13"/>
  <c r="P808" i="13"/>
  <c r="P809" i="13"/>
  <c r="P810" i="13"/>
  <c r="P811" i="13"/>
  <c r="P812" i="13"/>
  <c r="P813" i="13"/>
  <c r="P814" i="13"/>
  <c r="P815" i="13"/>
  <c r="P816" i="13"/>
  <c r="P817" i="13"/>
  <c r="P818" i="13"/>
  <c r="P819" i="13"/>
  <c r="P820" i="13"/>
  <c r="P821" i="13"/>
  <c r="P822" i="13"/>
  <c r="P823" i="13"/>
  <c r="P824" i="13"/>
  <c r="P825" i="13"/>
  <c r="P826" i="13"/>
  <c r="P827" i="13"/>
  <c r="P828" i="13"/>
  <c r="P829" i="13"/>
  <c r="P830" i="13"/>
  <c r="P831" i="13"/>
  <c r="P832" i="13"/>
  <c r="P833" i="13"/>
  <c r="P834" i="13"/>
  <c r="P835" i="13"/>
  <c r="P836" i="13"/>
  <c r="P837" i="13"/>
  <c r="P838" i="13"/>
  <c r="P839" i="13"/>
  <c r="P840" i="13"/>
  <c r="P841" i="13"/>
  <c r="P842" i="13"/>
  <c r="P843" i="13"/>
  <c r="P844" i="13"/>
  <c r="P845" i="13"/>
  <c r="P846" i="13"/>
  <c r="P847" i="13"/>
  <c r="P848" i="13"/>
  <c r="P849" i="13"/>
  <c r="P850" i="13"/>
  <c r="P851" i="13"/>
  <c r="P852" i="13"/>
  <c r="P853" i="13"/>
  <c r="P854" i="13"/>
  <c r="P855" i="13"/>
  <c r="P856" i="13"/>
  <c r="P857" i="13"/>
  <c r="P858" i="13"/>
  <c r="P859" i="13"/>
  <c r="P860" i="13"/>
  <c r="P861" i="13"/>
  <c r="P862" i="13"/>
  <c r="P863" i="13"/>
  <c r="P864" i="13"/>
  <c r="P255" i="13"/>
  <c r="P256" i="13"/>
  <c r="P257" i="13"/>
  <c r="P258" i="13"/>
  <c r="P259" i="13"/>
  <c r="P260" i="13"/>
  <c r="P261" i="13"/>
  <c r="P262" i="13"/>
  <c r="P263" i="13"/>
  <c r="P264" i="13"/>
  <c r="P265" i="13"/>
  <c r="P266" i="13"/>
  <c r="P267" i="13"/>
  <c r="P268" i="13"/>
  <c r="P269" i="13"/>
  <c r="P270" i="13"/>
  <c r="P271" i="13"/>
  <c r="P272" i="13"/>
  <c r="P273" i="13"/>
  <c r="P274" i="13"/>
  <c r="P275" i="13"/>
  <c r="P276" i="13"/>
  <c r="P277" i="13"/>
  <c r="P278" i="13"/>
  <c r="P279" i="13"/>
  <c r="P280" i="13"/>
  <c r="P281" i="13"/>
  <c r="P282" i="13"/>
  <c r="P283" i="13"/>
  <c r="P284" i="13"/>
  <c r="P285" i="13"/>
  <c r="P286" i="13"/>
  <c r="P287" i="13"/>
  <c r="P288" i="13"/>
  <c r="P289" i="13"/>
  <c r="P290" i="13"/>
  <c r="P291" i="13"/>
  <c r="P292" i="13"/>
  <c r="P293" i="13"/>
  <c r="P294" i="13"/>
  <c r="P295" i="13"/>
  <c r="P296" i="13"/>
  <c r="P297" i="13"/>
  <c r="P298" i="13"/>
  <c r="P299" i="13"/>
  <c r="P300" i="13"/>
  <c r="P301" i="13"/>
  <c r="P302" i="13"/>
  <c r="P303" i="13"/>
  <c r="P304" i="13"/>
  <c r="P305" i="13"/>
  <c r="P306" i="13"/>
  <c r="P307" i="13"/>
  <c r="P308" i="13"/>
  <c r="P309" i="13"/>
  <c r="P310" i="13"/>
  <c r="P311" i="13"/>
  <c r="P312" i="13"/>
  <c r="P313" i="13"/>
  <c r="P314" i="13"/>
  <c r="P315" i="13"/>
  <c r="P316" i="13"/>
  <c r="P317" i="13"/>
  <c r="P318" i="13"/>
  <c r="P319" i="13"/>
  <c r="P320" i="13"/>
  <c r="P321" i="13"/>
  <c r="P322" i="13"/>
  <c r="P323" i="13"/>
  <c r="P324" i="13"/>
  <c r="P325" i="13"/>
  <c r="P326" i="13"/>
  <c r="P327" i="13"/>
  <c r="P328" i="13"/>
  <c r="P329" i="13"/>
  <c r="P330" i="13"/>
  <c r="P331" i="13"/>
  <c r="P332" i="13"/>
  <c r="P333" i="13"/>
  <c r="P334" i="13"/>
  <c r="P335" i="13"/>
  <c r="P336" i="13"/>
  <c r="P337" i="13"/>
  <c r="P338" i="13"/>
  <c r="P339" i="13"/>
  <c r="P340" i="13"/>
  <c r="P341" i="13"/>
  <c r="P342" i="13"/>
  <c r="P343" i="13"/>
  <c r="P344" i="13"/>
  <c r="P345" i="13"/>
  <c r="P346" i="13"/>
  <c r="P347" i="13"/>
  <c r="P348" i="13"/>
  <c r="P349" i="13"/>
  <c r="P350" i="13"/>
  <c r="P351" i="13"/>
  <c r="P352" i="13"/>
  <c r="P353" i="13"/>
  <c r="P354" i="13"/>
  <c r="P355" i="13"/>
  <c r="P356" i="13"/>
  <c r="P357" i="13"/>
  <c r="P358" i="13"/>
  <c r="P359" i="13"/>
  <c r="P360" i="13"/>
  <c r="P361" i="13"/>
  <c r="P362" i="13"/>
  <c r="P363" i="13"/>
  <c r="P364" i="13"/>
  <c r="P365" i="13"/>
  <c r="P366" i="13"/>
  <c r="P367" i="13"/>
  <c r="P368" i="13"/>
  <c r="P369" i="13"/>
  <c r="P370" i="13"/>
  <c r="P371" i="13"/>
  <c r="P372" i="13"/>
  <c r="P373" i="13"/>
  <c r="P374" i="13"/>
  <c r="P375" i="13"/>
  <c r="P376" i="13"/>
  <c r="P377" i="13"/>
  <c r="P378" i="13"/>
  <c r="P379" i="13"/>
  <c r="P380" i="13"/>
  <c r="P381" i="13"/>
  <c r="P382" i="13"/>
  <c r="P383" i="13"/>
  <c r="P384" i="13"/>
  <c r="P385" i="13"/>
  <c r="P386" i="13"/>
  <c r="P387" i="13"/>
  <c r="P388" i="13"/>
  <c r="P389" i="13"/>
  <c r="P390" i="13"/>
  <c r="P391" i="13"/>
  <c r="P392" i="13"/>
  <c r="P393" i="13"/>
  <c r="P394" i="13"/>
  <c r="P395" i="13"/>
  <c r="P396" i="13"/>
  <c r="P397" i="13"/>
  <c r="P398" i="13"/>
  <c r="P399" i="13"/>
  <c r="P400" i="13"/>
  <c r="P401" i="13"/>
  <c r="P402" i="13"/>
  <c r="P403" i="13"/>
  <c r="P404" i="13"/>
  <c r="P405" i="13"/>
  <c r="P406" i="13"/>
  <c r="P407" i="13"/>
  <c r="P408" i="13"/>
  <c r="P409" i="13"/>
  <c r="P410" i="13"/>
  <c r="P411" i="13"/>
  <c r="P412" i="13"/>
  <c r="P413" i="13"/>
  <c r="P414" i="13"/>
  <c r="P415" i="13"/>
  <c r="P416" i="13"/>
  <c r="P417" i="13"/>
  <c r="P418" i="13"/>
  <c r="P419" i="13"/>
  <c r="P420" i="13"/>
  <c r="P421" i="13"/>
  <c r="P422" i="13"/>
  <c r="P423" i="13"/>
  <c r="P424" i="13"/>
  <c r="P425" i="13"/>
  <c r="P426" i="13"/>
  <c r="P427" i="13"/>
  <c r="P428" i="13"/>
  <c r="P429" i="13"/>
  <c r="P430" i="13"/>
  <c r="P431" i="13"/>
  <c r="P432" i="13"/>
  <c r="P433" i="13"/>
  <c r="P434" i="13"/>
  <c r="P435" i="13"/>
  <c r="P436" i="13"/>
  <c r="P437" i="13"/>
  <c r="P438" i="13"/>
  <c r="P439" i="13"/>
  <c r="P440" i="13"/>
  <c r="P441" i="13"/>
  <c r="P442" i="13"/>
  <c r="P443" i="13"/>
  <c r="P444" i="13"/>
  <c r="P445" i="13"/>
  <c r="P446" i="13"/>
  <c r="P447" i="13"/>
  <c r="P448" i="13"/>
  <c r="P449" i="13"/>
  <c r="P450" i="13"/>
  <c r="P451" i="13"/>
  <c r="P452" i="13"/>
  <c r="P453" i="13"/>
  <c r="P454" i="13"/>
  <c r="P455" i="13"/>
  <c r="P456" i="13"/>
  <c r="P457" i="13"/>
  <c r="P458" i="13"/>
  <c r="P459" i="13"/>
  <c r="P460" i="13"/>
  <c r="P461" i="13"/>
  <c r="P462" i="13"/>
  <c r="P77" i="13"/>
  <c r="P78" i="13"/>
  <c r="P79" i="13"/>
  <c r="P80" i="13"/>
  <c r="P81" i="13"/>
  <c r="P82" i="13"/>
  <c r="P83" i="13"/>
  <c r="P84" i="13"/>
  <c r="P85" i="13"/>
  <c r="P86" i="13"/>
  <c r="P87" i="13"/>
  <c r="P88" i="13"/>
  <c r="P89" i="13"/>
  <c r="P90" i="13"/>
  <c r="P91" i="13"/>
  <c r="P92" i="13"/>
  <c r="P93" i="13"/>
  <c r="P94" i="13"/>
  <c r="P95" i="13"/>
  <c r="P96" i="13"/>
  <c r="P97" i="13"/>
  <c r="P98" i="13"/>
  <c r="P99" i="13"/>
  <c r="P100" i="13"/>
  <c r="P101" i="13"/>
  <c r="P102" i="13"/>
  <c r="P103" i="13"/>
  <c r="P104" i="13"/>
  <c r="P105" i="13"/>
  <c r="P106" i="13"/>
  <c r="P107" i="13"/>
  <c r="P108" i="13"/>
  <c r="P109" i="13"/>
  <c r="P110" i="13"/>
  <c r="P111" i="13"/>
  <c r="P112" i="13"/>
  <c r="P113" i="13"/>
  <c r="P114" i="13"/>
  <c r="P115" i="13"/>
  <c r="P116" i="13"/>
  <c r="P117" i="13"/>
  <c r="P118" i="13"/>
  <c r="P119" i="13"/>
  <c r="P120" i="13"/>
  <c r="P121" i="13"/>
  <c r="P122" i="13"/>
  <c r="P123" i="13"/>
  <c r="P124" i="13"/>
  <c r="P125" i="13"/>
  <c r="P126" i="13"/>
  <c r="P127" i="13"/>
  <c r="P128" i="13"/>
  <c r="P129" i="13"/>
  <c r="P130" i="13"/>
  <c r="P131" i="13"/>
  <c r="P132" i="13"/>
  <c r="P133" i="13"/>
  <c r="P134" i="13"/>
  <c r="P135" i="13"/>
  <c r="P136" i="13"/>
  <c r="P137" i="13"/>
  <c r="P138" i="13"/>
  <c r="P139" i="13"/>
  <c r="P140" i="13"/>
  <c r="P141" i="13"/>
  <c r="P142" i="13"/>
  <c r="P143" i="13"/>
  <c r="P144" i="13"/>
  <c r="P145" i="13"/>
  <c r="P146" i="13"/>
  <c r="P147" i="13"/>
  <c r="P148" i="13"/>
  <c r="P149" i="13"/>
  <c r="P150" i="13"/>
  <c r="P151" i="13"/>
  <c r="P152" i="13"/>
  <c r="P153" i="13"/>
  <c r="P154" i="13"/>
  <c r="P155" i="13"/>
  <c r="P156" i="13"/>
  <c r="P157" i="13"/>
  <c r="P158" i="13"/>
  <c r="P159" i="13"/>
  <c r="P160" i="13"/>
  <c r="P161" i="13"/>
  <c r="P162" i="13"/>
  <c r="P163" i="13"/>
  <c r="P164" i="13"/>
  <c r="P165" i="13"/>
  <c r="P166" i="13"/>
  <c r="P167" i="13"/>
  <c r="P168" i="13"/>
  <c r="P169" i="13"/>
  <c r="P170" i="13"/>
  <c r="P171" i="13"/>
  <c r="P172" i="13"/>
  <c r="P173" i="13"/>
  <c r="P174" i="13"/>
  <c r="P175" i="13"/>
  <c r="P176" i="13"/>
  <c r="P177" i="13"/>
  <c r="P178" i="13"/>
  <c r="P179" i="13"/>
  <c r="P180" i="13"/>
  <c r="P181" i="13"/>
  <c r="P182" i="13"/>
  <c r="P183" i="13"/>
  <c r="P184" i="13"/>
  <c r="P185" i="13"/>
  <c r="P186" i="13"/>
  <c r="P187" i="13"/>
  <c r="P188" i="13"/>
  <c r="P189" i="13"/>
  <c r="P190" i="13"/>
  <c r="P191" i="13"/>
  <c r="P192" i="13"/>
  <c r="P193" i="13"/>
  <c r="P194" i="13"/>
  <c r="P195" i="13"/>
  <c r="P196" i="13"/>
  <c r="P197" i="13"/>
  <c r="P198" i="13"/>
  <c r="P199" i="13"/>
  <c r="P200" i="13"/>
  <c r="P201" i="13"/>
  <c r="P202" i="13"/>
  <c r="P203" i="13"/>
  <c r="P204" i="13"/>
  <c r="P205" i="13"/>
  <c r="P206" i="13"/>
  <c r="P207" i="13"/>
  <c r="P208" i="13"/>
  <c r="P209" i="13"/>
  <c r="P210" i="13"/>
  <c r="P211" i="13"/>
  <c r="P212" i="13"/>
  <c r="P213" i="13"/>
  <c r="P214" i="13"/>
  <c r="P215" i="13"/>
  <c r="P216" i="13"/>
  <c r="P217" i="13"/>
  <c r="P218" i="13"/>
  <c r="P219" i="13"/>
  <c r="P220" i="13"/>
  <c r="P221" i="13"/>
  <c r="P222" i="13"/>
  <c r="P223" i="13"/>
  <c r="P224" i="13"/>
  <c r="P225" i="13"/>
  <c r="P226" i="13"/>
  <c r="Z226" i="13" l="1"/>
  <c r="AA226" i="13" s="1"/>
  <c r="T226" i="13"/>
  <c r="Z225" i="13"/>
  <c r="AA225" i="13" s="1"/>
  <c r="T225" i="13"/>
  <c r="Z224" i="13"/>
  <c r="AA224" i="13" s="1"/>
  <c r="T224" i="13"/>
  <c r="Z223" i="13"/>
  <c r="AA223" i="13" s="1"/>
  <c r="T223" i="13"/>
  <c r="U223" i="13" s="1"/>
  <c r="W223" i="13" s="1"/>
  <c r="Z222" i="13"/>
  <c r="AA222" i="13" s="1"/>
  <c r="T222" i="13"/>
  <c r="V222" i="13" s="1"/>
  <c r="AE222" i="13" s="1"/>
  <c r="Z221" i="13"/>
  <c r="AA221" i="13" s="1"/>
  <c r="T221" i="13"/>
  <c r="Z220" i="13"/>
  <c r="AA220" i="13" s="1"/>
  <c r="T220" i="13"/>
  <c r="U220" i="13" s="1"/>
  <c r="W220" i="13" s="1"/>
  <c r="Z219" i="13"/>
  <c r="AA219" i="13" s="1"/>
  <c r="T219" i="13"/>
  <c r="U219" i="13" s="1"/>
  <c r="W219" i="13" s="1"/>
  <c r="AF219" i="13" s="1"/>
  <c r="Z218" i="13"/>
  <c r="AA218" i="13" s="1"/>
  <c r="T218" i="13"/>
  <c r="V218" i="13" s="1"/>
  <c r="AE218" i="13" s="1"/>
  <c r="Z217" i="13"/>
  <c r="AA217" i="13" s="1"/>
  <c r="T217" i="13"/>
  <c r="Z216" i="13"/>
  <c r="AA216" i="13" s="1"/>
  <c r="T216" i="13"/>
  <c r="V216" i="13" s="1"/>
  <c r="AE216" i="13" s="1"/>
  <c r="Z215" i="13"/>
  <c r="AA215" i="13" s="1"/>
  <c r="T215" i="13"/>
  <c r="Z214" i="13"/>
  <c r="AA214" i="13" s="1"/>
  <c r="T214" i="13"/>
  <c r="Z213" i="13"/>
  <c r="AA213" i="13" s="1"/>
  <c r="T213" i="13"/>
  <c r="U213" i="13" s="1"/>
  <c r="W213" i="13" s="1"/>
  <c r="Z212" i="13"/>
  <c r="AA212" i="13" s="1"/>
  <c r="T212" i="13"/>
  <c r="Z211" i="13"/>
  <c r="AA211" i="13" s="1"/>
  <c r="T211" i="13"/>
  <c r="V211" i="13" s="1"/>
  <c r="AE211" i="13" s="1"/>
  <c r="Z210" i="13"/>
  <c r="AA210" i="13" s="1"/>
  <c r="T210" i="13"/>
  <c r="Z209" i="13"/>
  <c r="AA209" i="13" s="1"/>
  <c r="T209" i="13"/>
  <c r="V209" i="13" s="1"/>
  <c r="AE209" i="13" s="1"/>
  <c r="Z208" i="13"/>
  <c r="AA208" i="13" s="1"/>
  <c r="T208" i="13"/>
  <c r="U208" i="13" s="1"/>
  <c r="W208" i="13" s="1"/>
  <c r="Z207" i="13"/>
  <c r="AA207" i="13" s="1"/>
  <c r="T207" i="13"/>
  <c r="V207" i="13" s="1"/>
  <c r="AE207" i="13" s="1"/>
  <c r="Z206" i="13"/>
  <c r="AA206" i="13" s="1"/>
  <c r="T206" i="13"/>
  <c r="Z205" i="13"/>
  <c r="AA205" i="13" s="1"/>
  <c r="T205" i="13"/>
  <c r="U205" i="13" s="1"/>
  <c r="W205" i="13" s="1"/>
  <c r="Z204" i="13"/>
  <c r="AA204" i="13" s="1"/>
  <c r="T204" i="13"/>
  <c r="V204" i="13" s="1"/>
  <c r="AE204" i="13" s="1"/>
  <c r="Z203" i="13"/>
  <c r="AA203" i="13" s="1"/>
  <c r="T203" i="13"/>
  <c r="V203" i="13" s="1"/>
  <c r="AE203" i="13" s="1"/>
  <c r="Z202" i="13"/>
  <c r="AA202" i="13" s="1"/>
  <c r="T202" i="13"/>
  <c r="Z201" i="13"/>
  <c r="AA201" i="13" s="1"/>
  <c r="T201" i="13"/>
  <c r="V201" i="13" s="1"/>
  <c r="AE201" i="13" s="1"/>
  <c r="Z200" i="13"/>
  <c r="AA200" i="13" s="1"/>
  <c r="T200" i="13"/>
  <c r="Z199" i="13"/>
  <c r="AA199" i="13" s="1"/>
  <c r="T199" i="13"/>
  <c r="U199" i="13" s="1"/>
  <c r="W199" i="13" s="1"/>
  <c r="Z198" i="13"/>
  <c r="AA198" i="13" s="1"/>
  <c r="T198" i="13"/>
  <c r="Z197" i="13"/>
  <c r="AA197" i="13" s="1"/>
  <c r="T197" i="13"/>
  <c r="Z196" i="13"/>
  <c r="AA196" i="13" s="1"/>
  <c r="T196" i="13"/>
  <c r="U196" i="13" s="1"/>
  <c r="W196" i="13" s="1"/>
  <c r="Z195" i="13"/>
  <c r="AA195" i="13" s="1"/>
  <c r="T195" i="13"/>
  <c r="V195" i="13" s="1"/>
  <c r="AE195" i="13" s="1"/>
  <c r="Z194" i="13"/>
  <c r="AA194" i="13" s="1"/>
  <c r="T194" i="13"/>
  <c r="Z193" i="13"/>
  <c r="AA193" i="13" s="1"/>
  <c r="T193" i="13"/>
  <c r="V193" i="13" s="1"/>
  <c r="AE193" i="13" s="1"/>
  <c r="Z192" i="13"/>
  <c r="AA192" i="13" s="1"/>
  <c r="T192" i="13"/>
  <c r="U192" i="13" s="1"/>
  <c r="W192" i="13" s="1"/>
  <c r="Z191" i="13"/>
  <c r="AA191" i="13" s="1"/>
  <c r="T191" i="13"/>
  <c r="V191" i="13" s="1"/>
  <c r="AE191" i="13" s="1"/>
  <c r="Z190" i="13"/>
  <c r="AA190" i="13" s="1"/>
  <c r="T190" i="13"/>
  <c r="U190" i="13" s="1"/>
  <c r="W190" i="13" s="1"/>
  <c r="Z189" i="13"/>
  <c r="AA189" i="13" s="1"/>
  <c r="T189" i="13"/>
  <c r="Z188" i="13"/>
  <c r="AA188" i="13" s="1"/>
  <c r="T188" i="13"/>
  <c r="U188" i="13" s="1"/>
  <c r="W188" i="13" s="1"/>
  <c r="Z187" i="13"/>
  <c r="AA187" i="13" s="1"/>
  <c r="T187" i="13"/>
  <c r="U187" i="13" s="1"/>
  <c r="W187" i="13" s="1"/>
  <c r="Z186" i="13"/>
  <c r="AA186" i="13" s="1"/>
  <c r="T186" i="13"/>
  <c r="V186" i="13" s="1"/>
  <c r="AE186" i="13" s="1"/>
  <c r="Z185" i="13"/>
  <c r="AA185" i="13" s="1"/>
  <c r="T185" i="13"/>
  <c r="V185" i="13" s="1"/>
  <c r="AE185" i="13" s="1"/>
  <c r="Z184" i="13"/>
  <c r="AA184" i="13" s="1"/>
  <c r="T184" i="13"/>
  <c r="Z183" i="13"/>
  <c r="AA183" i="13" s="1"/>
  <c r="T183" i="13"/>
  <c r="Z182" i="13"/>
  <c r="AA182" i="13" s="1"/>
  <c r="T182" i="13"/>
  <c r="Z181" i="13"/>
  <c r="AA181" i="13" s="1"/>
  <c r="T181" i="13"/>
  <c r="V181" i="13" s="1"/>
  <c r="AE181" i="13" s="1"/>
  <c r="Z180" i="13"/>
  <c r="AA180" i="13" s="1"/>
  <c r="T180" i="13"/>
  <c r="Z179" i="13"/>
  <c r="AA179" i="13" s="1"/>
  <c r="T179" i="13"/>
  <c r="Z178" i="13"/>
  <c r="AA178" i="13" s="1"/>
  <c r="T178" i="13"/>
  <c r="Z177" i="13"/>
  <c r="AA177" i="13" s="1"/>
  <c r="T177" i="13"/>
  <c r="U177" i="13" s="1"/>
  <c r="W177" i="13" s="1"/>
  <c r="Z176" i="13"/>
  <c r="AA176" i="13" s="1"/>
  <c r="T176" i="13"/>
  <c r="Z175" i="13"/>
  <c r="AA175" i="13" s="1"/>
  <c r="T175" i="13"/>
  <c r="V175" i="13" s="1"/>
  <c r="AE175" i="13" s="1"/>
  <c r="Z174" i="13"/>
  <c r="AA174" i="13" s="1"/>
  <c r="T174" i="13"/>
  <c r="V174" i="13" s="1"/>
  <c r="AE174" i="13" s="1"/>
  <c r="Z173" i="13"/>
  <c r="AA173" i="13" s="1"/>
  <c r="T173" i="13"/>
  <c r="V173" i="13" s="1"/>
  <c r="AE173" i="13" s="1"/>
  <c r="Z172" i="13"/>
  <c r="AA172" i="13" s="1"/>
  <c r="T172" i="13"/>
  <c r="U172" i="13" s="1"/>
  <c r="W172" i="13" s="1"/>
  <c r="Z171" i="13"/>
  <c r="AA171" i="13" s="1"/>
  <c r="T171" i="13"/>
  <c r="Z170" i="13"/>
  <c r="AA170" i="13" s="1"/>
  <c r="T170" i="13"/>
  <c r="V170" i="13" s="1"/>
  <c r="AE170" i="13" s="1"/>
  <c r="Z169" i="13"/>
  <c r="AA169" i="13" s="1"/>
  <c r="T169" i="13"/>
  <c r="Z168" i="13"/>
  <c r="AA168" i="13" s="1"/>
  <c r="T168" i="13"/>
  <c r="Z167" i="13"/>
  <c r="AA167" i="13" s="1"/>
  <c r="T167" i="13"/>
  <c r="Z166" i="13"/>
  <c r="AA166" i="13" s="1"/>
  <c r="T166" i="13"/>
  <c r="Z165" i="13"/>
  <c r="AA165" i="13" s="1"/>
  <c r="T165" i="13"/>
  <c r="V165" i="13" s="1"/>
  <c r="AE165" i="13" s="1"/>
  <c r="Z164" i="13"/>
  <c r="AA164" i="13" s="1"/>
  <c r="T164" i="13"/>
  <c r="Z163" i="13"/>
  <c r="AA163" i="13" s="1"/>
  <c r="T163" i="13"/>
  <c r="Z162" i="13"/>
  <c r="AA162" i="13" s="1"/>
  <c r="T162" i="13"/>
  <c r="V162" i="13" s="1"/>
  <c r="AE162" i="13" s="1"/>
  <c r="Z161" i="13"/>
  <c r="AA161" i="13" s="1"/>
  <c r="T161" i="13"/>
  <c r="V161" i="13" s="1"/>
  <c r="AE161" i="13" s="1"/>
  <c r="Z160" i="13"/>
  <c r="AA160" i="13" s="1"/>
  <c r="T160" i="13"/>
  <c r="Z159" i="13"/>
  <c r="AA159" i="13" s="1"/>
  <c r="T159" i="13"/>
  <c r="Z158" i="13"/>
  <c r="AA158" i="13" s="1"/>
  <c r="T158" i="13"/>
  <c r="V158" i="13" s="1"/>
  <c r="AE158" i="13" s="1"/>
  <c r="Z157" i="13"/>
  <c r="AA157" i="13" s="1"/>
  <c r="T157" i="13"/>
  <c r="V157" i="13" s="1"/>
  <c r="AE157" i="13" s="1"/>
  <c r="Z156" i="13"/>
  <c r="AA156" i="13" s="1"/>
  <c r="T156" i="13"/>
  <c r="Z155" i="13"/>
  <c r="AA155" i="13" s="1"/>
  <c r="T155" i="13"/>
  <c r="Z154" i="13"/>
  <c r="AA154" i="13" s="1"/>
  <c r="T154" i="13"/>
  <c r="V154" i="13" s="1"/>
  <c r="AE154" i="13" s="1"/>
  <c r="Z153" i="13"/>
  <c r="AA153" i="13" s="1"/>
  <c r="T153" i="13"/>
  <c r="Z152" i="13"/>
  <c r="AA152" i="13" s="1"/>
  <c r="T152" i="13"/>
  <c r="V152" i="13" s="1"/>
  <c r="AE152" i="13" s="1"/>
  <c r="Z151" i="13"/>
  <c r="AA151" i="13" s="1"/>
  <c r="T151" i="13"/>
  <c r="U151" i="13" s="1"/>
  <c r="W151" i="13" s="1"/>
  <c r="Z150" i="13"/>
  <c r="AA150" i="13" s="1"/>
  <c r="T150" i="13"/>
  <c r="Z149" i="13"/>
  <c r="AA149" i="13" s="1"/>
  <c r="T149" i="13"/>
  <c r="U149" i="13" s="1"/>
  <c r="W149" i="13" s="1"/>
  <c r="Z148" i="13"/>
  <c r="AA148" i="13" s="1"/>
  <c r="T148" i="13"/>
  <c r="V148" i="13" s="1"/>
  <c r="AE148" i="13" s="1"/>
  <c r="Z147" i="13"/>
  <c r="AA147" i="13" s="1"/>
  <c r="T147" i="13"/>
  <c r="Z146" i="13"/>
  <c r="AA146" i="13" s="1"/>
  <c r="T146" i="13"/>
  <c r="Z145" i="13"/>
  <c r="AA145" i="13" s="1"/>
  <c r="T145" i="13"/>
  <c r="Z144" i="13"/>
  <c r="AA144" i="13" s="1"/>
  <c r="T144" i="13"/>
  <c r="Z143" i="13"/>
  <c r="AA143" i="13" s="1"/>
  <c r="T143" i="13"/>
  <c r="U143" i="13" s="1"/>
  <c r="W143" i="13" s="1"/>
  <c r="Z142" i="13"/>
  <c r="AA142" i="13" s="1"/>
  <c r="T142" i="13"/>
  <c r="Z141" i="13"/>
  <c r="AA141" i="13" s="1"/>
  <c r="T141" i="13"/>
  <c r="U141" i="13" s="1"/>
  <c r="W141" i="13" s="1"/>
  <c r="Z140" i="13"/>
  <c r="AA140" i="13" s="1"/>
  <c r="T140" i="13"/>
  <c r="Z139" i="13"/>
  <c r="AA139" i="13" s="1"/>
  <c r="T139" i="13"/>
  <c r="U139" i="13" s="1"/>
  <c r="W139" i="13" s="1"/>
  <c r="Z138" i="13"/>
  <c r="AA138" i="13" s="1"/>
  <c r="T138" i="13"/>
  <c r="V138" i="13" s="1"/>
  <c r="AE138" i="13" s="1"/>
  <c r="Z137" i="13"/>
  <c r="AA137" i="13" s="1"/>
  <c r="T137" i="13"/>
  <c r="V137" i="13" s="1"/>
  <c r="AE137" i="13" s="1"/>
  <c r="Z136" i="13"/>
  <c r="AA136" i="13" s="1"/>
  <c r="T136" i="13"/>
  <c r="Z135" i="13"/>
  <c r="AA135" i="13" s="1"/>
  <c r="T135" i="13"/>
  <c r="V135" i="13" s="1"/>
  <c r="AE135" i="13" s="1"/>
  <c r="Z134" i="13"/>
  <c r="AA134" i="13" s="1"/>
  <c r="T134" i="13"/>
  <c r="Z133" i="13"/>
  <c r="AA133" i="13" s="1"/>
  <c r="T133" i="13"/>
  <c r="U133" i="13" s="1"/>
  <c r="W133" i="13" s="1"/>
  <c r="Z132" i="13"/>
  <c r="AA132" i="13" s="1"/>
  <c r="T132" i="13"/>
  <c r="Z131" i="13"/>
  <c r="AA131" i="13" s="1"/>
  <c r="T131" i="13"/>
  <c r="Z130" i="13"/>
  <c r="AA130" i="13" s="1"/>
  <c r="T130" i="13"/>
  <c r="V130" i="13" s="1"/>
  <c r="AE130" i="13" s="1"/>
  <c r="Z129" i="13"/>
  <c r="AA129" i="13" s="1"/>
  <c r="T129" i="13"/>
  <c r="Z128" i="13"/>
  <c r="AA128" i="13" s="1"/>
  <c r="T128" i="13"/>
  <c r="V128" i="13" s="1"/>
  <c r="AE128" i="13" s="1"/>
  <c r="Z127" i="13"/>
  <c r="AA127" i="13" s="1"/>
  <c r="T127" i="13"/>
  <c r="V127" i="13" s="1"/>
  <c r="AE127" i="13" s="1"/>
  <c r="Z126" i="13"/>
  <c r="AA126" i="13" s="1"/>
  <c r="T126" i="13"/>
  <c r="U126" i="13" s="1"/>
  <c r="W126" i="13" s="1"/>
  <c r="Z125" i="13"/>
  <c r="AA125" i="13" s="1"/>
  <c r="T125" i="13"/>
  <c r="U125" i="13" s="1"/>
  <c r="W125" i="13" s="1"/>
  <c r="Z124" i="13"/>
  <c r="AA124" i="13" s="1"/>
  <c r="T124" i="13"/>
  <c r="V124" i="13" s="1"/>
  <c r="AE124" i="13" s="1"/>
  <c r="Z123" i="13"/>
  <c r="AA123" i="13" s="1"/>
  <c r="T123" i="13"/>
  <c r="Z122" i="13"/>
  <c r="AA122" i="13" s="1"/>
  <c r="T122" i="13"/>
  <c r="U122" i="13" s="1"/>
  <c r="W122" i="13" s="1"/>
  <c r="Z121" i="13"/>
  <c r="AA121" i="13" s="1"/>
  <c r="T121" i="13"/>
  <c r="Z120" i="13"/>
  <c r="AA120" i="13" s="1"/>
  <c r="T120" i="13"/>
  <c r="Z119" i="13"/>
  <c r="AA119" i="13" s="1"/>
  <c r="T119" i="13"/>
  <c r="U119" i="13" s="1"/>
  <c r="W119" i="13" s="1"/>
  <c r="Z118" i="13"/>
  <c r="AA118" i="13" s="1"/>
  <c r="T118" i="13"/>
  <c r="V118" i="13" s="1"/>
  <c r="AE118" i="13" s="1"/>
  <c r="Z117" i="13"/>
  <c r="AA117" i="13" s="1"/>
  <c r="T117" i="13"/>
  <c r="Z116" i="13"/>
  <c r="AA116" i="13" s="1"/>
  <c r="T116" i="13"/>
  <c r="Z115" i="13"/>
  <c r="AA115" i="13" s="1"/>
  <c r="T115" i="13"/>
  <c r="Z114" i="13"/>
  <c r="AA114" i="13" s="1"/>
  <c r="T114" i="13"/>
  <c r="Z113" i="13"/>
  <c r="AA113" i="13" s="1"/>
  <c r="T113" i="13"/>
  <c r="V113" i="13" s="1"/>
  <c r="AE113" i="13" s="1"/>
  <c r="Z112" i="13"/>
  <c r="AA112" i="13" s="1"/>
  <c r="T112" i="13"/>
  <c r="V112" i="13" s="1"/>
  <c r="AE112" i="13" s="1"/>
  <c r="Z111" i="13"/>
  <c r="AA111" i="13" s="1"/>
  <c r="T111" i="13"/>
  <c r="Z110" i="13"/>
  <c r="AA110" i="13" s="1"/>
  <c r="T110" i="13"/>
  <c r="Z109" i="13"/>
  <c r="AA109" i="13" s="1"/>
  <c r="T109" i="13"/>
  <c r="V109" i="13" s="1"/>
  <c r="AE109" i="13" s="1"/>
  <c r="Z108" i="13"/>
  <c r="AA108" i="13" s="1"/>
  <c r="T108" i="13"/>
  <c r="V108" i="13" s="1"/>
  <c r="AE108" i="13" s="1"/>
  <c r="Z107" i="13"/>
  <c r="AA107" i="13" s="1"/>
  <c r="T107" i="13"/>
  <c r="Z106" i="13"/>
  <c r="AA106" i="13" s="1"/>
  <c r="T106" i="13"/>
  <c r="V106" i="13" s="1"/>
  <c r="AE106" i="13" s="1"/>
  <c r="Z105" i="13"/>
  <c r="AA105" i="13" s="1"/>
  <c r="T105" i="13"/>
  <c r="Z104" i="13"/>
  <c r="AA104" i="13" s="1"/>
  <c r="T104" i="13"/>
  <c r="V104" i="13" s="1"/>
  <c r="AE104" i="13" s="1"/>
  <c r="Z103" i="13"/>
  <c r="AA103" i="13" s="1"/>
  <c r="T103" i="13"/>
  <c r="Z102" i="13"/>
  <c r="AA102" i="13" s="1"/>
  <c r="T102" i="13"/>
  <c r="U102" i="13" s="1"/>
  <c r="W102" i="13" s="1"/>
  <c r="Z101" i="13"/>
  <c r="AA101" i="13" s="1"/>
  <c r="T101" i="13"/>
  <c r="Z100" i="13"/>
  <c r="AA100" i="13" s="1"/>
  <c r="T100" i="13"/>
  <c r="V100" i="13" s="1"/>
  <c r="AE100" i="13" s="1"/>
  <c r="Z99" i="13"/>
  <c r="AA99" i="13" s="1"/>
  <c r="T99" i="13"/>
  <c r="Z98" i="13"/>
  <c r="AA98" i="13" s="1"/>
  <c r="T98" i="13"/>
  <c r="V98" i="13" s="1"/>
  <c r="AE98" i="13" s="1"/>
  <c r="Z97" i="13"/>
  <c r="AA97" i="13" s="1"/>
  <c r="T97" i="13"/>
  <c r="U97" i="13" s="1"/>
  <c r="W97" i="13" s="1"/>
  <c r="Z96" i="13"/>
  <c r="AA96" i="13" s="1"/>
  <c r="T96" i="13"/>
  <c r="V96" i="13" s="1"/>
  <c r="AE96" i="13" s="1"/>
  <c r="Z95" i="13"/>
  <c r="AA95" i="13" s="1"/>
  <c r="T95" i="13"/>
  <c r="Z94" i="13"/>
  <c r="AA94" i="13" s="1"/>
  <c r="T94" i="13"/>
  <c r="V94" i="13" s="1"/>
  <c r="AE94" i="13" s="1"/>
  <c r="Z93" i="13"/>
  <c r="AA93" i="13" s="1"/>
  <c r="T93" i="13"/>
  <c r="Z92" i="13"/>
  <c r="AA92" i="13" s="1"/>
  <c r="T92" i="13"/>
  <c r="Z91" i="13"/>
  <c r="AA91" i="13" s="1"/>
  <c r="T91" i="13"/>
  <c r="V91" i="13" s="1"/>
  <c r="AE91" i="13" s="1"/>
  <c r="Z90" i="13"/>
  <c r="AA90" i="13" s="1"/>
  <c r="T90" i="13"/>
  <c r="Z89" i="13"/>
  <c r="AA89" i="13" s="1"/>
  <c r="T89" i="13"/>
  <c r="Z88" i="13"/>
  <c r="AA88" i="13" s="1"/>
  <c r="T88" i="13"/>
  <c r="V88" i="13" s="1"/>
  <c r="AE88" i="13" s="1"/>
  <c r="Z87" i="13"/>
  <c r="AA87" i="13" s="1"/>
  <c r="T87" i="13"/>
  <c r="Z86" i="13"/>
  <c r="AA86" i="13" s="1"/>
  <c r="T86" i="13"/>
  <c r="Z85" i="13"/>
  <c r="AA85" i="13" s="1"/>
  <c r="T85" i="13"/>
  <c r="Z84" i="13"/>
  <c r="AA84" i="13" s="1"/>
  <c r="T84" i="13"/>
  <c r="U84" i="13" s="1"/>
  <c r="W84" i="13" s="1"/>
  <c r="Z83" i="13"/>
  <c r="AA83" i="13" s="1"/>
  <c r="T83" i="13"/>
  <c r="Z82" i="13"/>
  <c r="AA82" i="13" s="1"/>
  <c r="T82" i="13"/>
  <c r="Z81" i="13"/>
  <c r="AA81" i="13" s="1"/>
  <c r="T81" i="13"/>
  <c r="U81" i="13" s="1"/>
  <c r="W81" i="13" s="1"/>
  <c r="Z80" i="13"/>
  <c r="AA80" i="13" s="1"/>
  <c r="T80" i="13"/>
  <c r="V80" i="13" s="1"/>
  <c r="AE80" i="13" s="1"/>
  <c r="Z79" i="13"/>
  <c r="AA79" i="13" s="1"/>
  <c r="T79" i="13"/>
  <c r="Z78" i="13"/>
  <c r="AA78" i="13" s="1"/>
  <c r="T78" i="13"/>
  <c r="Z77" i="13"/>
  <c r="AA77" i="13" s="1"/>
  <c r="T77" i="13"/>
  <c r="V77" i="13" s="1"/>
  <c r="AE77" i="13" s="1"/>
  <c r="Z462" i="13"/>
  <c r="AA462" i="13" s="1"/>
  <c r="T462" i="13"/>
  <c r="Z461" i="13"/>
  <c r="AA461" i="13" s="1"/>
  <c r="T461" i="13"/>
  <c r="Z460" i="13"/>
  <c r="AA460" i="13" s="1"/>
  <c r="T460" i="13"/>
  <c r="U460" i="13" s="1"/>
  <c r="W460" i="13" s="1"/>
  <c r="Z459" i="13"/>
  <c r="AA459" i="13" s="1"/>
  <c r="T459" i="13"/>
  <c r="V459" i="13" s="1"/>
  <c r="AE459" i="13" s="1"/>
  <c r="Z458" i="13"/>
  <c r="AA458" i="13" s="1"/>
  <c r="T458" i="13"/>
  <c r="Z457" i="13"/>
  <c r="AA457" i="13" s="1"/>
  <c r="T457" i="13"/>
  <c r="V457" i="13" s="1"/>
  <c r="AE457" i="13" s="1"/>
  <c r="Z456" i="13"/>
  <c r="AA456" i="13" s="1"/>
  <c r="T456" i="13"/>
  <c r="U456" i="13" s="1"/>
  <c r="W456" i="13" s="1"/>
  <c r="Z455" i="13"/>
  <c r="AA455" i="13" s="1"/>
  <c r="T455" i="13"/>
  <c r="V455" i="13" s="1"/>
  <c r="AE455" i="13" s="1"/>
  <c r="Z454" i="13"/>
  <c r="AA454" i="13" s="1"/>
  <c r="T454" i="13"/>
  <c r="V454" i="13" s="1"/>
  <c r="AE454" i="13" s="1"/>
  <c r="Z453" i="13"/>
  <c r="AA453" i="13" s="1"/>
  <c r="T453" i="13"/>
  <c r="Z452" i="13"/>
  <c r="AA452" i="13" s="1"/>
  <c r="T452" i="13"/>
  <c r="V452" i="13" s="1"/>
  <c r="AE452" i="13" s="1"/>
  <c r="Z451" i="13"/>
  <c r="AA451" i="13" s="1"/>
  <c r="T451" i="13"/>
  <c r="V451" i="13" s="1"/>
  <c r="AE451" i="13" s="1"/>
  <c r="Z450" i="13"/>
  <c r="AA450" i="13" s="1"/>
  <c r="T450" i="13"/>
  <c r="Z449" i="13"/>
  <c r="AA449" i="13" s="1"/>
  <c r="T449" i="13"/>
  <c r="Z448" i="13"/>
  <c r="AA448" i="13" s="1"/>
  <c r="T448" i="13"/>
  <c r="Z447" i="13"/>
  <c r="AA447" i="13" s="1"/>
  <c r="T447" i="13"/>
  <c r="Z446" i="13"/>
  <c r="AA446" i="13" s="1"/>
  <c r="T446" i="13"/>
  <c r="Z445" i="13"/>
  <c r="AA445" i="13" s="1"/>
  <c r="T445" i="13"/>
  <c r="V445" i="13" s="1"/>
  <c r="AE445" i="13" s="1"/>
  <c r="Z444" i="13"/>
  <c r="AA444" i="13" s="1"/>
  <c r="T444" i="13"/>
  <c r="U444" i="13" s="1"/>
  <c r="W444" i="13" s="1"/>
  <c r="Z443" i="13"/>
  <c r="AA443" i="13" s="1"/>
  <c r="T443" i="13"/>
  <c r="Z442" i="13"/>
  <c r="AA442" i="13" s="1"/>
  <c r="T442" i="13"/>
  <c r="V442" i="13" s="1"/>
  <c r="AE442" i="13" s="1"/>
  <c r="Z441" i="13"/>
  <c r="AA441" i="13" s="1"/>
  <c r="T441" i="13"/>
  <c r="Z440" i="13"/>
  <c r="AA440" i="13" s="1"/>
  <c r="T440" i="13"/>
  <c r="U440" i="13" s="1"/>
  <c r="W440" i="13" s="1"/>
  <c r="Z439" i="13"/>
  <c r="AA439" i="13" s="1"/>
  <c r="T439" i="13"/>
  <c r="V439" i="13" s="1"/>
  <c r="AE439" i="13" s="1"/>
  <c r="Z438" i="13"/>
  <c r="AA438" i="13" s="1"/>
  <c r="T438" i="13"/>
  <c r="U438" i="13" s="1"/>
  <c r="W438" i="13" s="1"/>
  <c r="Z437" i="13"/>
  <c r="AA437" i="13" s="1"/>
  <c r="T437" i="13"/>
  <c r="Z436" i="13"/>
  <c r="AA436" i="13" s="1"/>
  <c r="T436" i="13"/>
  <c r="V436" i="13" s="1"/>
  <c r="AE436" i="13" s="1"/>
  <c r="Z435" i="13"/>
  <c r="AA435" i="13" s="1"/>
  <c r="T435" i="13"/>
  <c r="Z434" i="13"/>
  <c r="AA434" i="13" s="1"/>
  <c r="T434" i="13"/>
  <c r="Z433" i="13"/>
  <c r="AA433" i="13" s="1"/>
  <c r="T433" i="13"/>
  <c r="V433" i="13" s="1"/>
  <c r="AE433" i="13" s="1"/>
  <c r="Z432" i="13"/>
  <c r="AA432" i="13" s="1"/>
  <c r="T432" i="13"/>
  <c r="Z431" i="13"/>
  <c r="AA431" i="13" s="1"/>
  <c r="T431" i="13"/>
  <c r="U431" i="13" s="1"/>
  <c r="W431" i="13" s="1"/>
  <c r="Z430" i="13"/>
  <c r="AA430" i="13" s="1"/>
  <c r="T430" i="13"/>
  <c r="V430" i="13" s="1"/>
  <c r="AE430" i="13" s="1"/>
  <c r="Z429" i="13"/>
  <c r="AA429" i="13" s="1"/>
  <c r="T429" i="13"/>
  <c r="U429" i="13" s="1"/>
  <c r="W429" i="13" s="1"/>
  <c r="Z428" i="13"/>
  <c r="AA428" i="13" s="1"/>
  <c r="T428" i="13"/>
  <c r="V428" i="13" s="1"/>
  <c r="AE428" i="13" s="1"/>
  <c r="Z427" i="13"/>
  <c r="AA427" i="13" s="1"/>
  <c r="T427" i="13"/>
  <c r="Z426" i="13"/>
  <c r="AA426" i="13" s="1"/>
  <c r="T426" i="13"/>
  <c r="U426" i="13" s="1"/>
  <c r="W426" i="13" s="1"/>
  <c r="Z425" i="13"/>
  <c r="AA425" i="13" s="1"/>
  <c r="T425" i="13"/>
  <c r="V425" i="13" s="1"/>
  <c r="AE425" i="13" s="1"/>
  <c r="Z424" i="13"/>
  <c r="AA424" i="13" s="1"/>
  <c r="T424" i="13"/>
  <c r="V424" i="13" s="1"/>
  <c r="AE424" i="13" s="1"/>
  <c r="Z423" i="13"/>
  <c r="AA423" i="13" s="1"/>
  <c r="T423" i="13"/>
  <c r="U423" i="13" s="1"/>
  <c r="W423" i="13" s="1"/>
  <c r="Z422" i="13"/>
  <c r="AA422" i="13" s="1"/>
  <c r="T422" i="13"/>
  <c r="V422" i="13" s="1"/>
  <c r="AE422" i="13" s="1"/>
  <c r="Z421" i="13"/>
  <c r="AA421" i="13" s="1"/>
  <c r="T421" i="13"/>
  <c r="V421" i="13" s="1"/>
  <c r="AE421" i="13" s="1"/>
  <c r="Z420" i="13"/>
  <c r="AA420" i="13" s="1"/>
  <c r="T420" i="13"/>
  <c r="Z419" i="13"/>
  <c r="AA419" i="13" s="1"/>
  <c r="T419" i="13"/>
  <c r="Z418" i="13"/>
  <c r="AA418" i="13" s="1"/>
  <c r="T418" i="13"/>
  <c r="V418" i="13" s="1"/>
  <c r="AE418" i="13" s="1"/>
  <c r="Z417" i="13"/>
  <c r="AA417" i="13" s="1"/>
  <c r="T417" i="13"/>
  <c r="U417" i="13" s="1"/>
  <c r="W417" i="13" s="1"/>
  <c r="Z416" i="13"/>
  <c r="AA416" i="13" s="1"/>
  <c r="T416" i="13"/>
  <c r="Z415" i="13"/>
  <c r="AA415" i="13" s="1"/>
  <c r="T415" i="13"/>
  <c r="V415" i="13" s="1"/>
  <c r="AE415" i="13" s="1"/>
  <c r="Z414" i="13"/>
  <c r="AA414" i="13" s="1"/>
  <c r="T414" i="13"/>
  <c r="Z413" i="13"/>
  <c r="AA413" i="13" s="1"/>
  <c r="T413" i="13"/>
  <c r="V413" i="13" s="1"/>
  <c r="AE413" i="13" s="1"/>
  <c r="Z412" i="13"/>
  <c r="AA412" i="13" s="1"/>
  <c r="T412" i="13"/>
  <c r="Z411" i="13"/>
  <c r="AA411" i="13" s="1"/>
  <c r="T411" i="13"/>
  <c r="U411" i="13" s="1"/>
  <c r="W411" i="13" s="1"/>
  <c r="Z410" i="13"/>
  <c r="AA410" i="13" s="1"/>
  <c r="T410" i="13"/>
  <c r="U410" i="13" s="1"/>
  <c r="W410" i="13" s="1"/>
  <c r="Z409" i="13"/>
  <c r="AA409" i="13" s="1"/>
  <c r="T409" i="13"/>
  <c r="V409" i="13" s="1"/>
  <c r="AE409" i="13" s="1"/>
  <c r="Z408" i="13"/>
  <c r="AA408" i="13" s="1"/>
  <c r="T408" i="13"/>
  <c r="U408" i="13" s="1"/>
  <c r="W408" i="13" s="1"/>
  <c r="Z407" i="13"/>
  <c r="AA407" i="13" s="1"/>
  <c r="T407" i="13"/>
  <c r="V407" i="13" s="1"/>
  <c r="AE407" i="13" s="1"/>
  <c r="Z406" i="13"/>
  <c r="AA406" i="13" s="1"/>
  <c r="T406" i="13"/>
  <c r="Z405" i="13"/>
  <c r="AA405" i="13" s="1"/>
  <c r="T405" i="13"/>
  <c r="Z404" i="13"/>
  <c r="AA404" i="13" s="1"/>
  <c r="T404" i="13"/>
  <c r="V404" i="13" s="1"/>
  <c r="AE404" i="13" s="1"/>
  <c r="Z403" i="13"/>
  <c r="AA403" i="13" s="1"/>
  <c r="T403" i="13"/>
  <c r="Z402" i="13"/>
  <c r="AA402" i="13" s="1"/>
  <c r="T402" i="13"/>
  <c r="Z401" i="13"/>
  <c r="AA401" i="13" s="1"/>
  <c r="T401" i="13"/>
  <c r="Z400" i="13"/>
  <c r="AA400" i="13" s="1"/>
  <c r="T400" i="13"/>
  <c r="Z399" i="13"/>
  <c r="AA399" i="13" s="1"/>
  <c r="T399" i="13"/>
  <c r="U399" i="13" s="1"/>
  <c r="W399" i="13" s="1"/>
  <c r="Z398" i="13"/>
  <c r="AA398" i="13" s="1"/>
  <c r="T398" i="13"/>
  <c r="V398" i="13" s="1"/>
  <c r="AE398" i="13" s="1"/>
  <c r="Z397" i="13"/>
  <c r="AA397" i="13" s="1"/>
  <c r="T397" i="13"/>
  <c r="V397" i="13" s="1"/>
  <c r="AE397" i="13" s="1"/>
  <c r="Z396" i="13"/>
  <c r="AA396" i="13" s="1"/>
  <c r="T396" i="13"/>
  <c r="Z395" i="13"/>
  <c r="AA395" i="13" s="1"/>
  <c r="T395" i="13"/>
  <c r="Z394" i="13"/>
  <c r="AA394" i="13" s="1"/>
  <c r="T394" i="13"/>
  <c r="V394" i="13" s="1"/>
  <c r="AE394" i="13" s="1"/>
  <c r="Z393" i="13"/>
  <c r="AA393" i="13" s="1"/>
  <c r="T393" i="13"/>
  <c r="U393" i="13" s="1"/>
  <c r="W393" i="13" s="1"/>
  <c r="Z392" i="13"/>
  <c r="AA392" i="13" s="1"/>
  <c r="T392" i="13"/>
  <c r="V392" i="13" s="1"/>
  <c r="AE392" i="13" s="1"/>
  <c r="Z391" i="13"/>
  <c r="AA391" i="13" s="1"/>
  <c r="T391" i="13"/>
  <c r="V391" i="13" s="1"/>
  <c r="AE391" i="13" s="1"/>
  <c r="Z390" i="13"/>
  <c r="AA390" i="13" s="1"/>
  <c r="T390" i="13"/>
  <c r="Z389" i="13"/>
  <c r="AA389" i="13" s="1"/>
  <c r="T389" i="13"/>
  <c r="Z388" i="13"/>
  <c r="AA388" i="13" s="1"/>
  <c r="T388" i="13"/>
  <c r="Z387" i="13"/>
  <c r="AA387" i="13" s="1"/>
  <c r="T387" i="13"/>
  <c r="Z386" i="13"/>
  <c r="AA386" i="13" s="1"/>
  <c r="T386" i="13"/>
  <c r="Z385" i="13"/>
  <c r="AA385" i="13" s="1"/>
  <c r="T385" i="13"/>
  <c r="V385" i="13" s="1"/>
  <c r="AE385" i="13" s="1"/>
  <c r="Z384" i="13"/>
  <c r="AA384" i="13" s="1"/>
  <c r="T384" i="13"/>
  <c r="Z383" i="13"/>
  <c r="AA383" i="13" s="1"/>
  <c r="T383" i="13"/>
  <c r="Z382" i="13"/>
  <c r="AA382" i="13" s="1"/>
  <c r="T382" i="13"/>
  <c r="V382" i="13" s="1"/>
  <c r="AE382" i="13" s="1"/>
  <c r="Z381" i="13"/>
  <c r="AA381" i="13" s="1"/>
  <c r="T381" i="13"/>
  <c r="Z380" i="13"/>
  <c r="AA380" i="13" s="1"/>
  <c r="T380" i="13"/>
  <c r="Z379" i="13"/>
  <c r="AA379" i="13" s="1"/>
  <c r="T379" i="13"/>
  <c r="Z378" i="13"/>
  <c r="AA378" i="13" s="1"/>
  <c r="T378" i="13"/>
  <c r="U378" i="13" s="1"/>
  <c r="W378" i="13" s="1"/>
  <c r="Z377" i="13"/>
  <c r="AA377" i="13" s="1"/>
  <c r="T377" i="13"/>
  <c r="U377" i="13" s="1"/>
  <c r="W377" i="13" s="1"/>
  <c r="Z376" i="13"/>
  <c r="AA376" i="13" s="1"/>
  <c r="T376" i="13"/>
  <c r="Z375" i="13"/>
  <c r="AA375" i="13" s="1"/>
  <c r="T375" i="13"/>
  <c r="Z374" i="13"/>
  <c r="AA374" i="13" s="1"/>
  <c r="T374" i="13"/>
  <c r="U374" i="13" s="1"/>
  <c r="W374" i="13" s="1"/>
  <c r="Z373" i="13"/>
  <c r="AA373" i="13" s="1"/>
  <c r="T373" i="13"/>
  <c r="U373" i="13" s="1"/>
  <c r="W373" i="13" s="1"/>
  <c r="Z372" i="13"/>
  <c r="AA372" i="13" s="1"/>
  <c r="T372" i="13"/>
  <c r="Z371" i="13"/>
  <c r="AA371" i="13" s="1"/>
  <c r="T371" i="13"/>
  <c r="U371" i="13" s="1"/>
  <c r="W371" i="13" s="1"/>
  <c r="Z370" i="13"/>
  <c r="AA370" i="13" s="1"/>
  <c r="T370" i="13"/>
  <c r="V370" i="13" s="1"/>
  <c r="AE370" i="13" s="1"/>
  <c r="Z369" i="13"/>
  <c r="AA369" i="13" s="1"/>
  <c r="T369" i="13"/>
  <c r="Z368" i="13"/>
  <c r="AA368" i="13" s="1"/>
  <c r="T368" i="13"/>
  <c r="Z367" i="13"/>
  <c r="AA367" i="13" s="1"/>
  <c r="T367" i="13"/>
  <c r="Z366" i="13"/>
  <c r="AA366" i="13" s="1"/>
  <c r="T366" i="13"/>
  <c r="Z365" i="13"/>
  <c r="AA365" i="13" s="1"/>
  <c r="T365" i="13"/>
  <c r="U365" i="13" s="1"/>
  <c r="W365" i="13" s="1"/>
  <c r="Z364" i="13"/>
  <c r="AA364" i="13" s="1"/>
  <c r="T364" i="13"/>
  <c r="Z363" i="13"/>
  <c r="AA363" i="13" s="1"/>
  <c r="T363" i="13"/>
  <c r="Z362" i="13"/>
  <c r="AA362" i="13" s="1"/>
  <c r="T362" i="13"/>
  <c r="U362" i="13" s="1"/>
  <c r="W362" i="13" s="1"/>
  <c r="Z361" i="13"/>
  <c r="AA361" i="13" s="1"/>
  <c r="T361" i="13"/>
  <c r="U361" i="13" s="1"/>
  <c r="W361" i="13" s="1"/>
  <c r="Z360" i="13"/>
  <c r="AA360" i="13" s="1"/>
  <c r="T360" i="13"/>
  <c r="Z359" i="13"/>
  <c r="AA359" i="13" s="1"/>
  <c r="T359" i="13"/>
  <c r="U359" i="13" s="1"/>
  <c r="W359" i="13" s="1"/>
  <c r="Z358" i="13"/>
  <c r="AA358" i="13" s="1"/>
  <c r="T358" i="13"/>
  <c r="V358" i="13" s="1"/>
  <c r="AE358" i="13" s="1"/>
  <c r="Z357" i="13"/>
  <c r="AA357" i="13" s="1"/>
  <c r="T357" i="13"/>
  <c r="Z356" i="13"/>
  <c r="AA356" i="13" s="1"/>
  <c r="T356" i="13"/>
  <c r="Z355" i="13"/>
  <c r="AA355" i="13" s="1"/>
  <c r="T355" i="13"/>
  <c r="U355" i="13" s="1"/>
  <c r="W355" i="13" s="1"/>
  <c r="Z354" i="13"/>
  <c r="AA354" i="13" s="1"/>
  <c r="T354" i="13"/>
  <c r="V354" i="13" s="1"/>
  <c r="AE354" i="13" s="1"/>
  <c r="Z353" i="13"/>
  <c r="AA353" i="13" s="1"/>
  <c r="T353" i="13"/>
  <c r="U353" i="13" s="1"/>
  <c r="W353" i="13" s="1"/>
  <c r="Z352" i="13"/>
  <c r="AA352" i="13" s="1"/>
  <c r="T352" i="13"/>
  <c r="V352" i="13" s="1"/>
  <c r="AE352" i="13" s="1"/>
  <c r="Z351" i="13"/>
  <c r="AA351" i="13" s="1"/>
  <c r="T351" i="13"/>
  <c r="Z350" i="13"/>
  <c r="AA350" i="13" s="1"/>
  <c r="T350" i="13"/>
  <c r="Z349" i="13"/>
  <c r="AA349" i="13" s="1"/>
  <c r="T349" i="13"/>
  <c r="Z348" i="13"/>
  <c r="AA348" i="13" s="1"/>
  <c r="T348" i="13"/>
  <c r="U348" i="13" s="1"/>
  <c r="W348" i="13" s="1"/>
  <c r="Z347" i="13"/>
  <c r="AA347" i="13" s="1"/>
  <c r="T347" i="13"/>
  <c r="Z346" i="13"/>
  <c r="AA346" i="13" s="1"/>
  <c r="T346" i="13"/>
  <c r="Z345" i="13"/>
  <c r="AA345" i="13" s="1"/>
  <c r="T345" i="13"/>
  <c r="Z344" i="13"/>
  <c r="AA344" i="13" s="1"/>
  <c r="T344" i="13"/>
  <c r="Z343" i="13"/>
  <c r="AA343" i="13" s="1"/>
  <c r="T343" i="13"/>
  <c r="Z342" i="13"/>
  <c r="AA342" i="13" s="1"/>
  <c r="T342" i="13"/>
  <c r="V342" i="13" s="1"/>
  <c r="AE342" i="13" s="1"/>
  <c r="Z341" i="13"/>
  <c r="AA341" i="13" s="1"/>
  <c r="T341" i="13"/>
  <c r="Z340" i="13"/>
  <c r="AA340" i="13" s="1"/>
  <c r="T340" i="13"/>
  <c r="Z339" i="13"/>
  <c r="AA339" i="13" s="1"/>
  <c r="T339" i="13"/>
  <c r="Z338" i="13"/>
  <c r="AA338" i="13" s="1"/>
  <c r="T338" i="13"/>
  <c r="U338" i="13" s="1"/>
  <c r="W338" i="13" s="1"/>
  <c r="Z337" i="13"/>
  <c r="AA337" i="13" s="1"/>
  <c r="T337" i="13"/>
  <c r="U337" i="13" s="1"/>
  <c r="W337" i="13" s="1"/>
  <c r="Z336" i="13"/>
  <c r="AA336" i="13" s="1"/>
  <c r="T336" i="13"/>
  <c r="Z335" i="13"/>
  <c r="AA335" i="13" s="1"/>
  <c r="T335" i="13"/>
  <c r="Z334" i="13"/>
  <c r="AA334" i="13" s="1"/>
  <c r="T334" i="13"/>
  <c r="Z333" i="13"/>
  <c r="AA333" i="13" s="1"/>
  <c r="T333" i="13"/>
  <c r="Z332" i="13"/>
  <c r="AA332" i="13" s="1"/>
  <c r="T332" i="13"/>
  <c r="U332" i="13" s="1"/>
  <c r="W332" i="13" s="1"/>
  <c r="Z331" i="13"/>
  <c r="AA331" i="13" s="1"/>
  <c r="T331" i="13"/>
  <c r="U331" i="13" s="1"/>
  <c r="W331" i="13" s="1"/>
  <c r="Z330" i="13"/>
  <c r="AA330" i="13" s="1"/>
  <c r="T330" i="13"/>
  <c r="V330" i="13" s="1"/>
  <c r="AE330" i="13" s="1"/>
  <c r="Z329" i="13"/>
  <c r="AA329" i="13" s="1"/>
  <c r="T329" i="13"/>
  <c r="U329" i="13" s="1"/>
  <c r="W329" i="13" s="1"/>
  <c r="Z328" i="13"/>
  <c r="AA328" i="13" s="1"/>
  <c r="T328" i="13"/>
  <c r="V328" i="13" s="1"/>
  <c r="AE328" i="13" s="1"/>
  <c r="Z327" i="13"/>
  <c r="AA327" i="13" s="1"/>
  <c r="T327" i="13"/>
  <c r="Z326" i="13"/>
  <c r="AA326" i="13" s="1"/>
  <c r="T326" i="13"/>
  <c r="Z325" i="13"/>
  <c r="AA325" i="13" s="1"/>
  <c r="T325" i="13"/>
  <c r="U325" i="13" s="1"/>
  <c r="W325" i="13" s="1"/>
  <c r="Z324" i="13"/>
  <c r="AA324" i="13" s="1"/>
  <c r="T324" i="13"/>
  <c r="Z323" i="13"/>
  <c r="AA323" i="13" s="1"/>
  <c r="T323" i="13"/>
  <c r="U323" i="13" s="1"/>
  <c r="W323" i="13" s="1"/>
  <c r="Z322" i="13"/>
  <c r="AA322" i="13" s="1"/>
  <c r="T322" i="13"/>
  <c r="Z321" i="13"/>
  <c r="AA321" i="13" s="1"/>
  <c r="T321" i="13"/>
  <c r="Z320" i="13"/>
  <c r="AA320" i="13" s="1"/>
  <c r="T320" i="13"/>
  <c r="V320" i="13" s="1"/>
  <c r="AE320" i="13" s="1"/>
  <c r="Z319" i="13"/>
  <c r="AA319" i="13" s="1"/>
  <c r="T319" i="13"/>
  <c r="Z318" i="13"/>
  <c r="AA318" i="13" s="1"/>
  <c r="T318" i="13"/>
  <c r="V318" i="13" s="1"/>
  <c r="AE318" i="13" s="1"/>
  <c r="Z317" i="13"/>
  <c r="AA317" i="13" s="1"/>
  <c r="T317" i="13"/>
  <c r="U317" i="13" s="1"/>
  <c r="W317" i="13" s="1"/>
  <c r="Z316" i="13"/>
  <c r="AA316" i="13" s="1"/>
  <c r="T316" i="13"/>
  <c r="Z315" i="13"/>
  <c r="AA315" i="13" s="1"/>
  <c r="T315" i="13"/>
  <c r="Z314" i="13"/>
  <c r="AA314" i="13" s="1"/>
  <c r="T314" i="13"/>
  <c r="V314" i="13" s="1"/>
  <c r="AE314" i="13" s="1"/>
  <c r="Z313" i="13"/>
  <c r="AA313" i="13" s="1"/>
  <c r="T313" i="13"/>
  <c r="V313" i="13" s="1"/>
  <c r="AE313" i="13" s="1"/>
  <c r="Z312" i="13"/>
  <c r="AA312" i="13" s="1"/>
  <c r="T312" i="13"/>
  <c r="Z311" i="13"/>
  <c r="AA311" i="13" s="1"/>
  <c r="T311" i="13"/>
  <c r="Z310" i="13"/>
  <c r="AA310" i="13" s="1"/>
  <c r="T310" i="13"/>
  <c r="V310" i="13" s="1"/>
  <c r="AE310" i="13" s="1"/>
  <c r="Z309" i="13"/>
  <c r="AA309" i="13" s="1"/>
  <c r="T309" i="13"/>
  <c r="Z308" i="13"/>
  <c r="AA308" i="13" s="1"/>
  <c r="T308" i="13"/>
  <c r="U308" i="13" s="1"/>
  <c r="W308" i="13" s="1"/>
  <c r="AF308" i="13" s="1"/>
  <c r="Z307" i="13"/>
  <c r="AA307" i="13" s="1"/>
  <c r="T307" i="13"/>
  <c r="Z306" i="13"/>
  <c r="AA306" i="13" s="1"/>
  <c r="T306" i="13"/>
  <c r="Z305" i="13"/>
  <c r="AA305" i="13" s="1"/>
  <c r="T305" i="13"/>
  <c r="Z304" i="13"/>
  <c r="AA304" i="13" s="1"/>
  <c r="T304" i="13"/>
  <c r="V304" i="13" s="1"/>
  <c r="AE304" i="13" s="1"/>
  <c r="Z303" i="13"/>
  <c r="AA303" i="13" s="1"/>
  <c r="T303" i="13"/>
  <c r="Z302" i="13"/>
  <c r="AA302" i="13" s="1"/>
  <c r="T302" i="13"/>
  <c r="Z301" i="13"/>
  <c r="AA301" i="13" s="1"/>
  <c r="T301" i="13"/>
  <c r="U301" i="13" s="1"/>
  <c r="W301" i="13" s="1"/>
  <c r="Z300" i="13"/>
  <c r="AA300" i="13" s="1"/>
  <c r="T300" i="13"/>
  <c r="U300" i="13" s="1"/>
  <c r="W300" i="13" s="1"/>
  <c r="Z299" i="13"/>
  <c r="AA299" i="13" s="1"/>
  <c r="T299" i="13"/>
  <c r="Z298" i="13"/>
  <c r="AA298" i="13" s="1"/>
  <c r="T298" i="13"/>
  <c r="Z297" i="13"/>
  <c r="AA297" i="13" s="1"/>
  <c r="T297" i="13"/>
  <c r="Z296" i="13"/>
  <c r="AA296" i="13" s="1"/>
  <c r="T296" i="13"/>
  <c r="V296" i="13" s="1"/>
  <c r="AE296" i="13" s="1"/>
  <c r="Z295" i="13"/>
  <c r="AA295" i="13" s="1"/>
  <c r="T295" i="13"/>
  <c r="Z294" i="13"/>
  <c r="AA294" i="13" s="1"/>
  <c r="T294" i="13"/>
  <c r="Z293" i="13"/>
  <c r="AA293" i="13" s="1"/>
  <c r="T293" i="13"/>
  <c r="Z292" i="13"/>
  <c r="AA292" i="13" s="1"/>
  <c r="T292" i="13"/>
  <c r="Z291" i="13"/>
  <c r="AA291" i="13" s="1"/>
  <c r="T291" i="13"/>
  <c r="U291" i="13" s="1"/>
  <c r="W291" i="13" s="1"/>
  <c r="Z290" i="13"/>
  <c r="AA290" i="13" s="1"/>
  <c r="T290" i="13"/>
  <c r="U290" i="13" s="1"/>
  <c r="W290" i="13" s="1"/>
  <c r="Z289" i="13"/>
  <c r="AA289" i="13" s="1"/>
  <c r="T289" i="13"/>
  <c r="V289" i="13" s="1"/>
  <c r="AE289" i="13" s="1"/>
  <c r="Z288" i="13"/>
  <c r="AA288" i="13" s="1"/>
  <c r="T288" i="13"/>
  <c r="U288" i="13" s="1"/>
  <c r="W288" i="13" s="1"/>
  <c r="Z287" i="13"/>
  <c r="AA287" i="13" s="1"/>
  <c r="T287" i="13"/>
  <c r="V287" i="13" s="1"/>
  <c r="AE287" i="13" s="1"/>
  <c r="Z286" i="13"/>
  <c r="AA286" i="13" s="1"/>
  <c r="T286" i="13"/>
  <c r="V286" i="13" s="1"/>
  <c r="AE286" i="13" s="1"/>
  <c r="Z285" i="13"/>
  <c r="AA285" i="13" s="1"/>
  <c r="T285" i="13"/>
  <c r="U285" i="13" s="1"/>
  <c r="W285" i="13" s="1"/>
  <c r="Z284" i="13"/>
  <c r="AA284" i="13" s="1"/>
  <c r="T284" i="13"/>
  <c r="V284" i="13" s="1"/>
  <c r="AE284" i="13" s="1"/>
  <c r="Z283" i="13"/>
  <c r="AA283" i="13" s="1"/>
  <c r="T283" i="13"/>
  <c r="Z282" i="13"/>
  <c r="AA282" i="13" s="1"/>
  <c r="T282" i="13"/>
  <c r="U282" i="13" s="1"/>
  <c r="W282" i="13" s="1"/>
  <c r="Z281" i="13"/>
  <c r="AA281" i="13" s="1"/>
  <c r="T281" i="13"/>
  <c r="Z280" i="13"/>
  <c r="AA280" i="13" s="1"/>
  <c r="T280" i="13"/>
  <c r="V280" i="13" s="1"/>
  <c r="AE280" i="13" s="1"/>
  <c r="Z279" i="13"/>
  <c r="AA279" i="13" s="1"/>
  <c r="T279" i="13"/>
  <c r="Z278" i="13"/>
  <c r="AA278" i="13" s="1"/>
  <c r="T278" i="13"/>
  <c r="Z277" i="13"/>
  <c r="AA277" i="13" s="1"/>
  <c r="T277" i="13"/>
  <c r="Z276" i="13"/>
  <c r="AA276" i="13" s="1"/>
  <c r="T276" i="13"/>
  <c r="Z275" i="13"/>
  <c r="AA275" i="13" s="1"/>
  <c r="T275" i="13"/>
  <c r="U275" i="13" s="1"/>
  <c r="W275" i="13" s="1"/>
  <c r="Z274" i="13"/>
  <c r="AA274" i="13" s="1"/>
  <c r="T274" i="13"/>
  <c r="Z273" i="13"/>
  <c r="AA273" i="13" s="1"/>
  <c r="T273" i="13"/>
  <c r="Z272" i="13"/>
  <c r="AA272" i="13" s="1"/>
  <c r="T272" i="13"/>
  <c r="U272" i="13" s="1"/>
  <c r="W272" i="13" s="1"/>
  <c r="Z271" i="13"/>
  <c r="AA271" i="13" s="1"/>
  <c r="T271" i="13"/>
  <c r="Z270" i="13"/>
  <c r="AA270" i="13" s="1"/>
  <c r="T270" i="13"/>
  <c r="Z269" i="13"/>
  <c r="AA269" i="13" s="1"/>
  <c r="T269" i="13"/>
  <c r="U269" i="13" s="1"/>
  <c r="W269" i="13" s="1"/>
  <c r="Z268" i="13"/>
  <c r="AA268" i="13" s="1"/>
  <c r="T268" i="13"/>
  <c r="U268" i="13" s="1"/>
  <c r="W268" i="13" s="1"/>
  <c r="AF268" i="13" s="1"/>
  <c r="Z267" i="13"/>
  <c r="AA267" i="13" s="1"/>
  <c r="T267" i="13"/>
  <c r="Z266" i="13"/>
  <c r="AA266" i="13" s="1"/>
  <c r="T266" i="13"/>
  <c r="U266" i="13" s="1"/>
  <c r="W266" i="13" s="1"/>
  <c r="Z265" i="13"/>
  <c r="AA265" i="13" s="1"/>
  <c r="T265" i="13"/>
  <c r="Z264" i="13"/>
  <c r="AA264" i="13" s="1"/>
  <c r="T264" i="13"/>
  <c r="Z263" i="13"/>
  <c r="AA263" i="13" s="1"/>
  <c r="T263" i="13"/>
  <c r="Z262" i="13"/>
  <c r="AA262" i="13" s="1"/>
  <c r="T262" i="13"/>
  <c r="Z261" i="13"/>
  <c r="AA261" i="13" s="1"/>
  <c r="T261" i="13"/>
  <c r="Z260" i="13"/>
  <c r="AA260" i="13" s="1"/>
  <c r="T260" i="13"/>
  <c r="U260" i="13" s="1"/>
  <c r="W260" i="13" s="1"/>
  <c r="Z259" i="13"/>
  <c r="AA259" i="13" s="1"/>
  <c r="T259" i="13"/>
  <c r="V259" i="13" s="1"/>
  <c r="AE259" i="13" s="1"/>
  <c r="Z258" i="13"/>
  <c r="AA258" i="13" s="1"/>
  <c r="T258" i="13"/>
  <c r="Z257" i="13"/>
  <c r="AA257" i="13" s="1"/>
  <c r="T257" i="13"/>
  <c r="U257" i="13" s="1"/>
  <c r="W257" i="13" s="1"/>
  <c r="Z256" i="13"/>
  <c r="AA256" i="13" s="1"/>
  <c r="T256" i="13"/>
  <c r="Z255" i="13"/>
  <c r="AA255" i="13" s="1"/>
  <c r="T255" i="13"/>
  <c r="Z864" i="13"/>
  <c r="AA864" i="13" s="1"/>
  <c r="T864" i="13"/>
  <c r="U864" i="13" s="1"/>
  <c r="W864" i="13" s="1"/>
  <c r="Z863" i="13"/>
  <c r="AA863" i="13" s="1"/>
  <c r="T863" i="13"/>
  <c r="U863" i="13" s="1"/>
  <c r="W863" i="13" s="1"/>
  <c r="Z862" i="13"/>
  <c r="AA862" i="13" s="1"/>
  <c r="T862" i="13"/>
  <c r="Z861" i="13"/>
  <c r="AA861" i="13" s="1"/>
  <c r="T861" i="13"/>
  <c r="U861" i="13" s="1"/>
  <c r="W861" i="13" s="1"/>
  <c r="Z860" i="13"/>
  <c r="AA860" i="13" s="1"/>
  <c r="T860" i="13"/>
  <c r="V860" i="13" s="1"/>
  <c r="AE860" i="13" s="1"/>
  <c r="Z859" i="13"/>
  <c r="AA859" i="13" s="1"/>
  <c r="T859" i="13"/>
  <c r="Z858" i="13"/>
  <c r="AA858" i="13" s="1"/>
  <c r="T858" i="13"/>
  <c r="U858" i="13" s="1"/>
  <c r="W858" i="13" s="1"/>
  <c r="Z857" i="13"/>
  <c r="AA857" i="13" s="1"/>
  <c r="T857" i="13"/>
  <c r="V857" i="13" s="1"/>
  <c r="AE857" i="13" s="1"/>
  <c r="Z856" i="13"/>
  <c r="AA856" i="13" s="1"/>
  <c r="T856" i="13"/>
  <c r="Z855" i="13"/>
  <c r="AA855" i="13" s="1"/>
  <c r="T855" i="13"/>
  <c r="Z854" i="13"/>
  <c r="AA854" i="13" s="1"/>
  <c r="T854" i="13"/>
  <c r="V854" i="13" s="1"/>
  <c r="AE854" i="13" s="1"/>
  <c r="Z853" i="13"/>
  <c r="AA853" i="13" s="1"/>
  <c r="T853" i="13"/>
  <c r="Z852" i="13"/>
  <c r="AA852" i="13" s="1"/>
  <c r="T852" i="13"/>
  <c r="U852" i="13" s="1"/>
  <c r="W852" i="13" s="1"/>
  <c r="Z851" i="13"/>
  <c r="AA851" i="13" s="1"/>
  <c r="T851" i="13"/>
  <c r="V851" i="13" s="1"/>
  <c r="AE851" i="13" s="1"/>
  <c r="Z850" i="13"/>
  <c r="AA850" i="13" s="1"/>
  <c r="T850" i="13"/>
  <c r="Z849" i="13"/>
  <c r="AA849" i="13" s="1"/>
  <c r="T849" i="13"/>
  <c r="U849" i="13" s="1"/>
  <c r="W849" i="13" s="1"/>
  <c r="Z848" i="13"/>
  <c r="AA848" i="13" s="1"/>
  <c r="T848" i="13"/>
  <c r="Z847" i="13"/>
  <c r="AA847" i="13" s="1"/>
  <c r="T847" i="13"/>
  <c r="Z846" i="13"/>
  <c r="AA846" i="13" s="1"/>
  <c r="T846" i="13"/>
  <c r="Z845" i="13"/>
  <c r="AA845" i="13" s="1"/>
  <c r="T845" i="13"/>
  <c r="V845" i="13" s="1"/>
  <c r="AE845" i="13" s="1"/>
  <c r="Z844" i="13"/>
  <c r="AA844" i="13" s="1"/>
  <c r="T844" i="13"/>
  <c r="Z843" i="13"/>
  <c r="AA843" i="13" s="1"/>
  <c r="T843" i="13"/>
  <c r="Z842" i="13"/>
  <c r="AA842" i="13" s="1"/>
  <c r="T842" i="13"/>
  <c r="Z841" i="13"/>
  <c r="AA841" i="13" s="1"/>
  <c r="T841" i="13"/>
  <c r="Z840" i="13"/>
  <c r="AA840" i="13" s="1"/>
  <c r="T840" i="13"/>
  <c r="U840" i="13" s="1"/>
  <c r="W840" i="13" s="1"/>
  <c r="Z839" i="13"/>
  <c r="AA839" i="13" s="1"/>
  <c r="T839" i="13"/>
  <c r="V839" i="13" s="1"/>
  <c r="AE839" i="13" s="1"/>
  <c r="Z838" i="13"/>
  <c r="AA838" i="13" s="1"/>
  <c r="T838" i="13"/>
  <c r="Z837" i="13"/>
  <c r="AA837" i="13" s="1"/>
  <c r="T837" i="13"/>
  <c r="Z836" i="13"/>
  <c r="AA836" i="13" s="1"/>
  <c r="T836" i="13"/>
  <c r="Z835" i="13"/>
  <c r="AA835" i="13" s="1"/>
  <c r="T835" i="13"/>
  <c r="Z834" i="13"/>
  <c r="AA834" i="13" s="1"/>
  <c r="T834" i="13"/>
  <c r="Z833" i="13"/>
  <c r="AA833" i="13" s="1"/>
  <c r="T833" i="13"/>
  <c r="V833" i="13" s="1"/>
  <c r="AE833" i="13" s="1"/>
  <c r="Z832" i="13"/>
  <c r="AA832" i="13" s="1"/>
  <c r="T832" i="13"/>
  <c r="Z831" i="13"/>
  <c r="AA831" i="13" s="1"/>
  <c r="T831" i="13"/>
  <c r="U831" i="13" s="1"/>
  <c r="W831" i="13" s="1"/>
  <c r="Z830" i="13"/>
  <c r="AA830" i="13" s="1"/>
  <c r="T830" i="13"/>
  <c r="Z829" i="13"/>
  <c r="AA829" i="13" s="1"/>
  <c r="T829" i="13"/>
  <c r="Z828" i="13"/>
  <c r="AA828" i="13" s="1"/>
  <c r="T828" i="13"/>
  <c r="U828" i="13" s="1"/>
  <c r="W828" i="13" s="1"/>
  <c r="Z827" i="13"/>
  <c r="AA827" i="13" s="1"/>
  <c r="T827" i="13"/>
  <c r="V827" i="13" s="1"/>
  <c r="AE827" i="13" s="1"/>
  <c r="Z826" i="13"/>
  <c r="AA826" i="13" s="1"/>
  <c r="T826" i="13"/>
  <c r="Z825" i="13"/>
  <c r="AA825" i="13" s="1"/>
  <c r="T825" i="13"/>
  <c r="U825" i="13" s="1"/>
  <c r="W825" i="13" s="1"/>
  <c r="Z824" i="13"/>
  <c r="AA824" i="13" s="1"/>
  <c r="T824" i="13"/>
  <c r="U824" i="13" s="1"/>
  <c r="W824" i="13" s="1"/>
  <c r="Z823" i="13"/>
  <c r="AA823" i="13" s="1"/>
  <c r="T823" i="13"/>
  <c r="Z822" i="13"/>
  <c r="AA822" i="13" s="1"/>
  <c r="T822" i="13"/>
  <c r="U822" i="13" s="1"/>
  <c r="W822" i="13" s="1"/>
  <c r="Z821" i="13"/>
  <c r="AA821" i="13" s="1"/>
  <c r="T821" i="13"/>
  <c r="Z820" i="13"/>
  <c r="AA820" i="13" s="1"/>
  <c r="T820" i="13"/>
  <c r="Z819" i="13"/>
  <c r="AA819" i="13" s="1"/>
  <c r="T819" i="13"/>
  <c r="U819" i="13" s="1"/>
  <c r="W819" i="13" s="1"/>
  <c r="Z818" i="13"/>
  <c r="AA818" i="13" s="1"/>
  <c r="T818" i="13"/>
  <c r="U818" i="13" s="1"/>
  <c r="W818" i="13" s="1"/>
  <c r="Z817" i="13"/>
  <c r="AA817" i="13" s="1"/>
  <c r="T817" i="13"/>
  <c r="Z816" i="13"/>
  <c r="AA816" i="13" s="1"/>
  <c r="T816" i="13"/>
  <c r="U816" i="13" s="1"/>
  <c r="W816" i="13" s="1"/>
  <c r="Z815" i="13"/>
  <c r="AA815" i="13" s="1"/>
  <c r="T815" i="13"/>
  <c r="Z814" i="13"/>
  <c r="AA814" i="13" s="1"/>
  <c r="T814" i="13"/>
  <c r="Z813" i="13"/>
  <c r="AA813" i="13" s="1"/>
  <c r="T813" i="13"/>
  <c r="U813" i="13" s="1"/>
  <c r="W813" i="13" s="1"/>
  <c r="Z812" i="13"/>
  <c r="AA812" i="13" s="1"/>
  <c r="T812" i="13"/>
  <c r="V812" i="13" s="1"/>
  <c r="AE812" i="13" s="1"/>
  <c r="Z811" i="13"/>
  <c r="AA811" i="13" s="1"/>
  <c r="T811" i="13"/>
  <c r="Z810" i="13"/>
  <c r="AA810" i="13" s="1"/>
  <c r="T810" i="13"/>
  <c r="U810" i="13" s="1"/>
  <c r="W810" i="13" s="1"/>
  <c r="Z809" i="13"/>
  <c r="AA809" i="13" s="1"/>
  <c r="T809" i="13"/>
  <c r="Z808" i="13"/>
  <c r="AA808" i="13" s="1"/>
  <c r="T808" i="13"/>
  <c r="Z807" i="13"/>
  <c r="AA807" i="13" s="1"/>
  <c r="T807" i="13"/>
  <c r="U807" i="13" s="1"/>
  <c r="W807" i="13" s="1"/>
  <c r="Z806" i="13"/>
  <c r="AA806" i="13" s="1"/>
  <c r="T806" i="13"/>
  <c r="Z805" i="13"/>
  <c r="AA805" i="13" s="1"/>
  <c r="T805" i="13"/>
  <c r="Z804" i="13"/>
  <c r="AA804" i="13" s="1"/>
  <c r="T804" i="13"/>
  <c r="Z803" i="13"/>
  <c r="AA803" i="13" s="1"/>
  <c r="T803" i="13"/>
  <c r="Z802" i="13"/>
  <c r="AA802" i="13" s="1"/>
  <c r="T802" i="13"/>
  <c r="Z801" i="13"/>
  <c r="AA801" i="13" s="1"/>
  <c r="T801" i="13"/>
  <c r="U801" i="13" s="1"/>
  <c r="W801" i="13" s="1"/>
  <c r="Z800" i="13"/>
  <c r="AA800" i="13" s="1"/>
  <c r="T800" i="13"/>
  <c r="V800" i="13" s="1"/>
  <c r="AE800" i="13" s="1"/>
  <c r="Z799" i="13"/>
  <c r="AA799" i="13" s="1"/>
  <c r="T799" i="13"/>
  <c r="Z798" i="13"/>
  <c r="AA798" i="13" s="1"/>
  <c r="T798" i="13"/>
  <c r="U798" i="13" s="1"/>
  <c r="W798" i="13" s="1"/>
  <c r="Z797" i="13"/>
  <c r="AA797" i="13" s="1"/>
  <c r="T797" i="13"/>
  <c r="U797" i="13" s="1"/>
  <c r="W797" i="13" s="1"/>
  <c r="Z796" i="13"/>
  <c r="AA796" i="13" s="1"/>
  <c r="T796" i="13"/>
  <c r="Z795" i="13"/>
  <c r="AA795" i="13" s="1"/>
  <c r="T795" i="13"/>
  <c r="U795" i="13" s="1"/>
  <c r="W795" i="13" s="1"/>
  <c r="Z794" i="13"/>
  <c r="AA794" i="13" s="1"/>
  <c r="T794" i="13"/>
  <c r="V794" i="13" s="1"/>
  <c r="AE794" i="13" s="1"/>
  <c r="Z793" i="13"/>
  <c r="AA793" i="13" s="1"/>
  <c r="T793" i="13"/>
  <c r="Z792" i="13"/>
  <c r="AA792" i="13" s="1"/>
  <c r="T792" i="13"/>
  <c r="U792" i="13" s="1"/>
  <c r="W792" i="13" s="1"/>
  <c r="Z791" i="13"/>
  <c r="AA791" i="13" s="1"/>
  <c r="T791" i="13"/>
  <c r="V791" i="13" s="1"/>
  <c r="AE791" i="13" s="1"/>
  <c r="Z790" i="13"/>
  <c r="AA790" i="13" s="1"/>
  <c r="T790" i="13"/>
  <c r="Z789" i="13"/>
  <c r="AA789" i="13" s="1"/>
  <c r="T789" i="13"/>
  <c r="U789" i="13" s="1"/>
  <c r="W789" i="13" s="1"/>
  <c r="Z788" i="13"/>
  <c r="AA788" i="13" s="1"/>
  <c r="T788" i="13"/>
  <c r="U788" i="13" s="1"/>
  <c r="W788" i="13" s="1"/>
  <c r="Z787" i="13"/>
  <c r="AA787" i="13" s="1"/>
  <c r="T787" i="13"/>
  <c r="Z786" i="13"/>
  <c r="AA786" i="13" s="1"/>
  <c r="T786" i="13"/>
  <c r="U786" i="13" s="1"/>
  <c r="W786" i="13" s="1"/>
  <c r="Z785" i="13"/>
  <c r="AA785" i="13" s="1"/>
  <c r="T785" i="13"/>
  <c r="V785" i="13" s="1"/>
  <c r="AE785" i="13" s="1"/>
  <c r="Z784" i="13"/>
  <c r="AA784" i="13" s="1"/>
  <c r="T784" i="13"/>
  <c r="Z783" i="13"/>
  <c r="AA783" i="13" s="1"/>
  <c r="T783" i="13"/>
  <c r="U783" i="13" s="1"/>
  <c r="W783" i="13" s="1"/>
  <c r="Z782" i="13"/>
  <c r="AA782" i="13" s="1"/>
  <c r="T782" i="13"/>
  <c r="V782" i="13" s="1"/>
  <c r="AE782" i="13" s="1"/>
  <c r="Z781" i="13"/>
  <c r="AA781" i="13" s="1"/>
  <c r="T781" i="13"/>
  <c r="Z780" i="13"/>
  <c r="AA780" i="13" s="1"/>
  <c r="T780" i="13"/>
  <c r="U780" i="13" s="1"/>
  <c r="W780" i="13" s="1"/>
  <c r="Z779" i="13"/>
  <c r="AA779" i="13" s="1"/>
  <c r="T779" i="13"/>
  <c r="U779" i="13" s="1"/>
  <c r="W779" i="13" s="1"/>
  <c r="Z778" i="13"/>
  <c r="AA778" i="13" s="1"/>
  <c r="T778" i="13"/>
  <c r="Z777" i="13"/>
  <c r="AA777" i="13" s="1"/>
  <c r="T777" i="13"/>
  <c r="U777" i="13" s="1"/>
  <c r="W777" i="13" s="1"/>
  <c r="Z776" i="13"/>
  <c r="AA776" i="13" s="1"/>
  <c r="T776" i="13"/>
  <c r="Z775" i="13"/>
  <c r="AA775" i="13" s="1"/>
  <c r="T775" i="13"/>
  <c r="Z774" i="13"/>
  <c r="AA774" i="13" s="1"/>
  <c r="T774" i="13"/>
  <c r="U774" i="13" s="1"/>
  <c r="W774" i="13" s="1"/>
  <c r="Z773" i="13"/>
  <c r="AA773" i="13" s="1"/>
  <c r="T773" i="13"/>
  <c r="V773" i="13" s="1"/>
  <c r="AE773" i="13" s="1"/>
  <c r="Z772" i="13"/>
  <c r="AA772" i="13" s="1"/>
  <c r="T772" i="13"/>
  <c r="Z771" i="13"/>
  <c r="AA771" i="13" s="1"/>
  <c r="T771" i="13"/>
  <c r="U771" i="13" s="1"/>
  <c r="W771" i="13" s="1"/>
  <c r="Z770" i="13"/>
  <c r="AA770" i="13" s="1"/>
  <c r="T770" i="13"/>
  <c r="V770" i="13" s="1"/>
  <c r="AE770" i="13" s="1"/>
  <c r="Z769" i="13"/>
  <c r="AA769" i="13" s="1"/>
  <c r="T769" i="13"/>
  <c r="Z768" i="13"/>
  <c r="AA768" i="13" s="1"/>
  <c r="T768" i="13"/>
  <c r="U768" i="13" s="1"/>
  <c r="W768" i="13" s="1"/>
  <c r="Z767" i="13"/>
  <c r="AA767" i="13" s="1"/>
  <c r="T767" i="13"/>
  <c r="V767" i="13" s="1"/>
  <c r="AE767" i="13" s="1"/>
  <c r="Z766" i="13"/>
  <c r="AA766" i="13" s="1"/>
  <c r="T766" i="13"/>
  <c r="Z765" i="13"/>
  <c r="AA765" i="13" s="1"/>
  <c r="T765" i="13"/>
  <c r="U765" i="13" s="1"/>
  <c r="W765" i="13" s="1"/>
  <c r="Z764" i="13"/>
  <c r="AA764" i="13" s="1"/>
  <c r="T764" i="13"/>
  <c r="U764" i="13" s="1"/>
  <c r="W764" i="13" s="1"/>
  <c r="Z763" i="13"/>
  <c r="AA763" i="13" s="1"/>
  <c r="T763" i="13"/>
  <c r="Z762" i="13"/>
  <c r="AA762" i="13" s="1"/>
  <c r="T762" i="13"/>
  <c r="U762" i="13" s="1"/>
  <c r="W762" i="13" s="1"/>
  <c r="Z761" i="13"/>
  <c r="AA761" i="13" s="1"/>
  <c r="T761" i="13"/>
  <c r="V761" i="13" s="1"/>
  <c r="AE761" i="13" s="1"/>
  <c r="Z760" i="13"/>
  <c r="AA760" i="13" s="1"/>
  <c r="T760" i="13"/>
  <c r="Z759" i="13"/>
  <c r="AA759" i="13" s="1"/>
  <c r="T759" i="13"/>
  <c r="U759" i="13" s="1"/>
  <c r="W759" i="13" s="1"/>
  <c r="Z758" i="13"/>
  <c r="AA758" i="13" s="1"/>
  <c r="T758" i="13"/>
  <c r="V758" i="13" s="1"/>
  <c r="AE758" i="13" s="1"/>
  <c r="Z757" i="13"/>
  <c r="AA757" i="13" s="1"/>
  <c r="T757" i="13"/>
  <c r="Z756" i="13"/>
  <c r="AA756" i="13" s="1"/>
  <c r="T756" i="13"/>
  <c r="Z755" i="13"/>
  <c r="AA755" i="13" s="1"/>
  <c r="T755" i="13"/>
  <c r="Z754" i="13"/>
  <c r="AA754" i="13" s="1"/>
  <c r="T754" i="13"/>
  <c r="Z753" i="13"/>
  <c r="AA753" i="13" s="1"/>
  <c r="T753" i="13"/>
  <c r="U753" i="13" s="1"/>
  <c r="W753" i="13" s="1"/>
  <c r="Z752" i="13"/>
  <c r="AA752" i="13" s="1"/>
  <c r="T752" i="13"/>
  <c r="V752" i="13" s="1"/>
  <c r="AE752" i="13" s="1"/>
  <c r="Z751" i="13"/>
  <c r="AA751" i="13" s="1"/>
  <c r="T751" i="13"/>
  <c r="Z750" i="13"/>
  <c r="AA750" i="13" s="1"/>
  <c r="T750" i="13"/>
  <c r="U750" i="13" s="1"/>
  <c r="W750" i="13" s="1"/>
  <c r="Z749" i="13"/>
  <c r="AA749" i="13" s="1"/>
  <c r="T749" i="13"/>
  <c r="V749" i="13" s="1"/>
  <c r="AE749" i="13" s="1"/>
  <c r="Z748" i="13"/>
  <c r="AA748" i="13" s="1"/>
  <c r="T748" i="13"/>
  <c r="Z747" i="13"/>
  <c r="AA747" i="13" s="1"/>
  <c r="T747" i="13"/>
  <c r="U747" i="13" s="1"/>
  <c r="W747" i="13" s="1"/>
  <c r="Z746" i="13"/>
  <c r="AA746" i="13" s="1"/>
  <c r="T746" i="13"/>
  <c r="V746" i="13" s="1"/>
  <c r="AE746" i="13" s="1"/>
  <c r="Z745" i="13"/>
  <c r="AA745" i="13" s="1"/>
  <c r="T745" i="13"/>
  <c r="Z744" i="13"/>
  <c r="AA744" i="13" s="1"/>
  <c r="T744" i="13"/>
  <c r="U744" i="13" s="1"/>
  <c r="W744" i="13" s="1"/>
  <c r="Z743" i="13"/>
  <c r="AA743" i="13" s="1"/>
  <c r="T743" i="13"/>
  <c r="V743" i="13" s="1"/>
  <c r="AE743" i="13" s="1"/>
  <c r="Z742" i="13"/>
  <c r="AA742" i="13" s="1"/>
  <c r="T742" i="13"/>
  <c r="Z741" i="13"/>
  <c r="AA741" i="13" s="1"/>
  <c r="T741" i="13"/>
  <c r="U741" i="13" s="1"/>
  <c r="W741" i="13" s="1"/>
  <c r="Z740" i="13"/>
  <c r="AA740" i="13" s="1"/>
  <c r="T740" i="13"/>
  <c r="Z738" i="13"/>
  <c r="AA738" i="13" s="1"/>
  <c r="T738" i="13"/>
  <c r="Z737" i="13"/>
  <c r="AA737" i="13" s="1"/>
  <c r="T737" i="13"/>
  <c r="Z736" i="13"/>
  <c r="AA736" i="13" s="1"/>
  <c r="T736" i="13"/>
  <c r="U736" i="13" s="1"/>
  <c r="W736" i="13" s="1"/>
  <c r="Z735" i="13"/>
  <c r="AA735" i="13" s="1"/>
  <c r="T735" i="13"/>
  <c r="V735" i="13" s="1"/>
  <c r="AE735" i="13" s="1"/>
  <c r="Z734" i="13"/>
  <c r="AA734" i="13" s="1"/>
  <c r="T734" i="13"/>
  <c r="Z733" i="13"/>
  <c r="AA733" i="13" s="1"/>
  <c r="T733" i="13"/>
  <c r="U733" i="13" s="1"/>
  <c r="W733" i="13" s="1"/>
  <c r="Z732" i="13"/>
  <c r="AA732" i="13" s="1"/>
  <c r="T732" i="13"/>
  <c r="V732" i="13" s="1"/>
  <c r="AE732" i="13" s="1"/>
  <c r="Z731" i="13"/>
  <c r="AA731" i="13" s="1"/>
  <c r="T731" i="13"/>
  <c r="Z730" i="13"/>
  <c r="AA730" i="13" s="1"/>
  <c r="T730" i="13"/>
  <c r="U730" i="13" s="1"/>
  <c r="W730" i="13" s="1"/>
  <c r="Z729" i="13"/>
  <c r="AA729" i="13" s="1"/>
  <c r="T729" i="13"/>
  <c r="V729" i="13" s="1"/>
  <c r="AE729" i="13" s="1"/>
  <c r="Z728" i="13"/>
  <c r="AA728" i="13" s="1"/>
  <c r="T728" i="13"/>
  <c r="Z727" i="13"/>
  <c r="AA727" i="13" s="1"/>
  <c r="T727" i="13"/>
  <c r="U727" i="13" s="1"/>
  <c r="W727" i="13" s="1"/>
  <c r="Z726" i="13"/>
  <c r="AA726" i="13" s="1"/>
  <c r="T726" i="13"/>
  <c r="V726" i="13" s="1"/>
  <c r="AE726" i="13" s="1"/>
  <c r="Z725" i="13"/>
  <c r="AA725" i="13" s="1"/>
  <c r="T725" i="13"/>
  <c r="Z724" i="13"/>
  <c r="AA724" i="13" s="1"/>
  <c r="T724" i="13"/>
  <c r="U724" i="13" s="1"/>
  <c r="W724" i="13" s="1"/>
  <c r="Z723" i="13"/>
  <c r="AA723" i="13" s="1"/>
  <c r="T723" i="13"/>
  <c r="Z722" i="13"/>
  <c r="AA722" i="13" s="1"/>
  <c r="T722" i="13"/>
  <c r="Z721" i="13"/>
  <c r="AA721" i="13" s="1"/>
  <c r="T721" i="13"/>
  <c r="U721" i="13" s="1"/>
  <c r="W721" i="13" s="1"/>
  <c r="Z720" i="13"/>
  <c r="AA720" i="13" s="1"/>
  <c r="T720" i="13"/>
  <c r="U720" i="13" s="1"/>
  <c r="W720" i="13" s="1"/>
  <c r="Z719" i="13"/>
  <c r="AA719" i="13" s="1"/>
  <c r="T719" i="13"/>
  <c r="Z718" i="13"/>
  <c r="AA718" i="13" s="1"/>
  <c r="T718" i="13"/>
  <c r="U718" i="13" s="1"/>
  <c r="W718" i="13" s="1"/>
  <c r="Z717" i="13"/>
  <c r="AA717" i="13" s="1"/>
  <c r="T717" i="13"/>
  <c r="V717" i="13" s="1"/>
  <c r="AE717" i="13" s="1"/>
  <c r="Z716" i="13"/>
  <c r="AA716" i="13" s="1"/>
  <c r="T716" i="13"/>
  <c r="Z715" i="13"/>
  <c r="AA715" i="13" s="1"/>
  <c r="T715" i="13"/>
  <c r="Z714" i="13"/>
  <c r="AA714" i="13" s="1"/>
  <c r="T714" i="13"/>
  <c r="V714" i="13" s="1"/>
  <c r="AE714" i="13" s="1"/>
  <c r="Z713" i="13"/>
  <c r="AA713" i="13" s="1"/>
  <c r="T713" i="13"/>
  <c r="Z712" i="13"/>
  <c r="AA712" i="13" s="1"/>
  <c r="T712" i="13"/>
  <c r="Z711" i="13"/>
  <c r="AA711" i="13" s="1"/>
  <c r="T711" i="13"/>
  <c r="Z710" i="13"/>
  <c r="AA710" i="13" s="1"/>
  <c r="T710" i="13"/>
  <c r="Z709" i="13"/>
  <c r="AA709" i="13" s="1"/>
  <c r="T709" i="13"/>
  <c r="U709" i="13" s="1"/>
  <c r="W709" i="13" s="1"/>
  <c r="Z708" i="13"/>
  <c r="AA708" i="13" s="1"/>
  <c r="T708" i="13"/>
  <c r="Z707" i="13"/>
  <c r="AA707" i="13" s="1"/>
  <c r="T707" i="13"/>
  <c r="Z706" i="13"/>
  <c r="AA706" i="13" s="1"/>
  <c r="T706" i="13"/>
  <c r="U706" i="13" s="1"/>
  <c r="W706" i="13" s="1"/>
  <c r="Z705" i="13"/>
  <c r="AA705" i="13" s="1"/>
  <c r="T705" i="13"/>
  <c r="Z704" i="13"/>
  <c r="AA704" i="13" s="1"/>
  <c r="T704" i="13"/>
  <c r="Z703" i="13"/>
  <c r="AA703" i="13" s="1"/>
  <c r="T703" i="13"/>
  <c r="U703" i="13" s="1"/>
  <c r="W703" i="13" s="1"/>
  <c r="Z702" i="13"/>
  <c r="AA702" i="13" s="1"/>
  <c r="T702" i="13"/>
  <c r="V702" i="13" s="1"/>
  <c r="AE702" i="13" s="1"/>
  <c r="Z701" i="13"/>
  <c r="AA701" i="13" s="1"/>
  <c r="T701" i="13"/>
  <c r="V701" i="13" s="1"/>
  <c r="AE701" i="13" s="1"/>
  <c r="Z700" i="13"/>
  <c r="AA700" i="13" s="1"/>
  <c r="T700" i="13"/>
  <c r="Z699" i="13"/>
  <c r="AA699" i="13" s="1"/>
  <c r="T699" i="13"/>
  <c r="V699" i="13" s="1"/>
  <c r="AE699" i="13" s="1"/>
  <c r="Z698" i="13"/>
  <c r="AA698" i="13" s="1"/>
  <c r="T698" i="13"/>
  <c r="Z697" i="13"/>
  <c r="AA697" i="13" s="1"/>
  <c r="T697" i="13"/>
  <c r="V697" i="13" s="1"/>
  <c r="AE697" i="13" s="1"/>
  <c r="Z696" i="13"/>
  <c r="AA696" i="13" s="1"/>
  <c r="T696" i="13"/>
  <c r="U696" i="13" s="1"/>
  <c r="W696" i="13" s="1"/>
  <c r="Z695" i="13"/>
  <c r="AA695" i="13" s="1"/>
  <c r="T695" i="13"/>
  <c r="V695" i="13" s="1"/>
  <c r="AE695" i="13" s="1"/>
  <c r="Z694" i="13"/>
  <c r="AA694" i="13" s="1"/>
  <c r="T694" i="13"/>
  <c r="V694" i="13" s="1"/>
  <c r="AE694" i="13" s="1"/>
  <c r="Z693" i="13"/>
  <c r="AA693" i="13" s="1"/>
  <c r="T693" i="13"/>
  <c r="V693" i="13" s="1"/>
  <c r="AE693" i="13" s="1"/>
  <c r="Z692" i="13"/>
  <c r="AA692" i="13" s="1"/>
  <c r="T692" i="13"/>
  <c r="Z691" i="13"/>
  <c r="AA691" i="13" s="1"/>
  <c r="T691" i="13"/>
  <c r="V691" i="13" s="1"/>
  <c r="AE691" i="13" s="1"/>
  <c r="Z690" i="13"/>
  <c r="AA690" i="13" s="1"/>
  <c r="T690" i="13"/>
  <c r="U690" i="13" s="1"/>
  <c r="W690" i="13" s="1"/>
  <c r="Z689" i="13"/>
  <c r="AA689" i="13" s="1"/>
  <c r="T689" i="13"/>
  <c r="V689" i="13" s="1"/>
  <c r="AE689" i="13" s="1"/>
  <c r="Z688" i="13"/>
  <c r="AA688" i="13" s="1"/>
  <c r="T688" i="13"/>
  <c r="V688" i="13" s="1"/>
  <c r="AE688" i="13" s="1"/>
  <c r="Z687" i="13"/>
  <c r="AA687" i="13" s="1"/>
  <c r="T687" i="13"/>
  <c r="V687" i="13" s="1"/>
  <c r="AE687" i="13" s="1"/>
  <c r="Z686" i="13"/>
  <c r="AA686" i="13" s="1"/>
  <c r="T686" i="13"/>
  <c r="Z685" i="13"/>
  <c r="AA685" i="13" s="1"/>
  <c r="T685" i="13"/>
  <c r="U685" i="13" s="1"/>
  <c r="W685" i="13" s="1"/>
  <c r="AF685" i="13" s="1"/>
  <c r="Z684" i="13"/>
  <c r="AA684" i="13" s="1"/>
  <c r="T684" i="13"/>
  <c r="U684" i="13" s="1"/>
  <c r="W684" i="13" s="1"/>
  <c r="Z683" i="13"/>
  <c r="AA683" i="13" s="1"/>
  <c r="T683" i="13"/>
  <c r="V683" i="13" s="1"/>
  <c r="AE683" i="13" s="1"/>
  <c r="Z682" i="13"/>
  <c r="AA682" i="13" s="1"/>
  <c r="T682" i="13"/>
  <c r="V682" i="13" s="1"/>
  <c r="AE682" i="13" s="1"/>
  <c r="Z681" i="13"/>
  <c r="AA681" i="13" s="1"/>
  <c r="T681" i="13"/>
  <c r="V681" i="13" s="1"/>
  <c r="AE681" i="13" s="1"/>
  <c r="Z680" i="13"/>
  <c r="AA680" i="13" s="1"/>
  <c r="T680" i="13"/>
  <c r="Z679" i="13"/>
  <c r="AA679" i="13" s="1"/>
  <c r="T679" i="13"/>
  <c r="V679" i="13" s="1"/>
  <c r="AE679" i="13" s="1"/>
  <c r="Z678" i="13"/>
  <c r="AA678" i="13" s="1"/>
  <c r="T678" i="13"/>
  <c r="U678" i="13" s="1"/>
  <c r="W678" i="13" s="1"/>
  <c r="Z677" i="13"/>
  <c r="AA677" i="13" s="1"/>
  <c r="T677" i="13"/>
  <c r="Z676" i="13"/>
  <c r="AA676" i="13" s="1"/>
  <c r="T676" i="13"/>
  <c r="V676" i="13" s="1"/>
  <c r="AE676" i="13" s="1"/>
  <c r="Z675" i="13"/>
  <c r="AA675" i="13" s="1"/>
  <c r="T675" i="13"/>
  <c r="V675" i="13" s="1"/>
  <c r="AE675" i="13" s="1"/>
  <c r="Z674" i="13"/>
  <c r="AA674" i="13" s="1"/>
  <c r="T674" i="13"/>
  <c r="Z673" i="13"/>
  <c r="AA673" i="13" s="1"/>
  <c r="T673" i="13"/>
  <c r="Z672" i="13"/>
  <c r="AA672" i="13" s="1"/>
  <c r="T672" i="13"/>
  <c r="U672" i="13" s="1"/>
  <c r="W672" i="13" s="1"/>
  <c r="Z671" i="13"/>
  <c r="AA671" i="13" s="1"/>
  <c r="T671" i="13"/>
  <c r="V671" i="13" s="1"/>
  <c r="AE671" i="13" s="1"/>
  <c r="Z670" i="13"/>
  <c r="AA670" i="13" s="1"/>
  <c r="T670" i="13"/>
  <c r="V670" i="13" s="1"/>
  <c r="AE670" i="13" s="1"/>
  <c r="Z669" i="13"/>
  <c r="AA669" i="13" s="1"/>
  <c r="T669" i="13"/>
  <c r="Z668" i="13"/>
  <c r="AA668" i="13" s="1"/>
  <c r="T668" i="13"/>
  <c r="Z667" i="13"/>
  <c r="AA667" i="13" s="1"/>
  <c r="T667" i="13"/>
  <c r="U667" i="13" s="1"/>
  <c r="W667" i="13" s="1"/>
  <c r="AF667" i="13" s="1"/>
  <c r="Z666" i="13"/>
  <c r="AA666" i="13" s="1"/>
  <c r="T666" i="13"/>
  <c r="Z665" i="13"/>
  <c r="AA665" i="13" s="1"/>
  <c r="T665" i="13"/>
  <c r="Z664" i="13"/>
  <c r="AA664" i="13" s="1"/>
  <c r="T664" i="13"/>
  <c r="V664" i="13" s="1"/>
  <c r="AE664" i="13" s="1"/>
  <c r="Z663" i="13"/>
  <c r="AA663" i="13" s="1"/>
  <c r="T663" i="13"/>
  <c r="Z662" i="13"/>
  <c r="AA662" i="13" s="1"/>
  <c r="T662" i="13"/>
  <c r="Z661" i="13"/>
  <c r="AA661" i="13" s="1"/>
  <c r="T661" i="13"/>
  <c r="Z660" i="13"/>
  <c r="AA660" i="13" s="1"/>
  <c r="T660" i="13"/>
  <c r="U660" i="13" s="1"/>
  <c r="W660" i="13" s="1"/>
  <c r="Z659" i="13"/>
  <c r="AA659" i="13" s="1"/>
  <c r="T659" i="13"/>
  <c r="Z658" i="13"/>
  <c r="AA658" i="13" s="1"/>
  <c r="T658" i="13"/>
  <c r="Z657" i="13"/>
  <c r="AA657" i="13" s="1"/>
  <c r="T657" i="13"/>
  <c r="V657" i="13" s="1"/>
  <c r="AE657" i="13" s="1"/>
  <c r="Z656" i="13"/>
  <c r="AA656" i="13" s="1"/>
  <c r="T656" i="13"/>
  <c r="Z655" i="13"/>
  <c r="AA655" i="13" s="1"/>
  <c r="T655" i="13"/>
  <c r="Z654" i="13"/>
  <c r="AA654" i="13" s="1"/>
  <c r="T654" i="13"/>
  <c r="Z653" i="13"/>
  <c r="AA653" i="13" s="1"/>
  <c r="T653" i="13"/>
  <c r="Z652" i="13"/>
  <c r="AA652" i="13" s="1"/>
  <c r="T652" i="13"/>
  <c r="V652" i="13" s="1"/>
  <c r="AE652" i="13" s="1"/>
  <c r="Z651" i="13"/>
  <c r="AA651" i="13" s="1"/>
  <c r="T651" i="13"/>
  <c r="V651" i="13" s="1"/>
  <c r="AE651" i="13" s="1"/>
  <c r="Z650" i="13"/>
  <c r="AA650" i="13" s="1"/>
  <c r="T650" i="13"/>
  <c r="Z649" i="13"/>
  <c r="AA649" i="13" s="1"/>
  <c r="T649" i="13"/>
  <c r="Z648" i="13"/>
  <c r="AA648" i="13" s="1"/>
  <c r="T648" i="13"/>
  <c r="U648" i="13" s="1"/>
  <c r="W648" i="13" s="1"/>
  <c r="Z647" i="13"/>
  <c r="AA647" i="13" s="1"/>
  <c r="T647" i="13"/>
  <c r="U647" i="13" s="1"/>
  <c r="W647" i="13" s="1"/>
  <c r="Z646" i="13"/>
  <c r="AA646" i="13" s="1"/>
  <c r="T646" i="13"/>
  <c r="V646" i="13" s="1"/>
  <c r="AE646" i="13" s="1"/>
  <c r="Z645" i="13"/>
  <c r="AA645" i="13" s="1"/>
  <c r="T645" i="13"/>
  <c r="V645" i="13" s="1"/>
  <c r="AE645" i="13" s="1"/>
  <c r="Z644" i="13"/>
  <c r="AA644" i="13" s="1"/>
  <c r="T644" i="13"/>
  <c r="Z643" i="13"/>
  <c r="AA643" i="13" s="1"/>
  <c r="T643" i="13"/>
  <c r="Z642" i="13"/>
  <c r="AA642" i="13" s="1"/>
  <c r="T642" i="13"/>
  <c r="U642" i="13" s="1"/>
  <c r="W642" i="13" s="1"/>
  <c r="Z641" i="13"/>
  <c r="AA641" i="13" s="1"/>
  <c r="T641" i="13"/>
  <c r="U641" i="13" s="1"/>
  <c r="W641" i="13" s="1"/>
  <c r="Z640" i="13"/>
  <c r="AA640" i="13" s="1"/>
  <c r="T640" i="13"/>
  <c r="Z639" i="13"/>
  <c r="AA639" i="13" s="1"/>
  <c r="T639" i="13"/>
  <c r="V639" i="13" s="1"/>
  <c r="AE639" i="13" s="1"/>
  <c r="Z638" i="13"/>
  <c r="AA638" i="13" s="1"/>
  <c r="T638" i="13"/>
  <c r="Z637" i="13"/>
  <c r="AA637" i="13" s="1"/>
  <c r="T637" i="13"/>
  <c r="V637" i="13" s="1"/>
  <c r="AE637" i="13" s="1"/>
  <c r="Z636" i="13"/>
  <c r="AA636" i="13" s="1"/>
  <c r="T636" i="13"/>
  <c r="U636" i="13" s="1"/>
  <c r="W636" i="13" s="1"/>
  <c r="Z635" i="13"/>
  <c r="AA635" i="13" s="1"/>
  <c r="T635" i="13"/>
  <c r="Z634" i="13"/>
  <c r="AA634" i="13" s="1"/>
  <c r="T634" i="13"/>
  <c r="V634" i="13" s="1"/>
  <c r="AE634" i="13" s="1"/>
  <c r="Z633" i="13"/>
  <c r="AA633" i="13" s="1"/>
  <c r="T633" i="13"/>
  <c r="V633" i="13" s="1"/>
  <c r="AE633" i="13" s="1"/>
  <c r="Z632" i="13"/>
  <c r="AA632" i="13" s="1"/>
  <c r="T632" i="13"/>
  <c r="Z631" i="13"/>
  <c r="AA631" i="13" s="1"/>
  <c r="T631" i="13"/>
  <c r="V631" i="13" s="1"/>
  <c r="AE631" i="13" s="1"/>
  <c r="Z630" i="13"/>
  <c r="AA630" i="13" s="1"/>
  <c r="T630" i="13"/>
  <c r="U630" i="13" s="1"/>
  <c r="W630" i="13" s="1"/>
  <c r="Z629" i="13"/>
  <c r="AA629" i="13" s="1"/>
  <c r="T629" i="13"/>
  <c r="U629" i="13" s="1"/>
  <c r="W629" i="13" s="1"/>
  <c r="Z628" i="13"/>
  <c r="AA628" i="13" s="1"/>
  <c r="T628" i="13"/>
  <c r="V628" i="13" s="1"/>
  <c r="AE628" i="13" s="1"/>
  <c r="Z627" i="13"/>
  <c r="AA627" i="13" s="1"/>
  <c r="T627" i="13"/>
  <c r="Z626" i="13"/>
  <c r="AA626" i="13" s="1"/>
  <c r="T626" i="13"/>
  <c r="Z625" i="13"/>
  <c r="AA625" i="13" s="1"/>
  <c r="T625" i="13"/>
  <c r="V625" i="13" s="1"/>
  <c r="AE625" i="13" s="1"/>
  <c r="Z624" i="13"/>
  <c r="AA624" i="13" s="1"/>
  <c r="T624" i="13"/>
  <c r="Z623" i="13"/>
  <c r="AA623" i="13" s="1"/>
  <c r="T623" i="13"/>
  <c r="V623" i="13" s="1"/>
  <c r="AE623" i="13" s="1"/>
  <c r="Z622" i="13"/>
  <c r="AA622" i="13" s="1"/>
  <c r="T622" i="13"/>
  <c r="U622" i="13" s="1"/>
  <c r="W622" i="13" s="1"/>
  <c r="Z621" i="13"/>
  <c r="AA621" i="13" s="1"/>
  <c r="T621" i="13"/>
  <c r="Z620" i="13"/>
  <c r="AA620" i="13" s="1"/>
  <c r="T620" i="13"/>
  <c r="Z619" i="13"/>
  <c r="AA619" i="13" s="1"/>
  <c r="T619" i="13"/>
  <c r="V619" i="13" s="1"/>
  <c r="AE619" i="13" s="1"/>
  <c r="Z618" i="13"/>
  <c r="AA618" i="13" s="1"/>
  <c r="T618" i="13"/>
  <c r="U618" i="13" s="1"/>
  <c r="W618" i="13" s="1"/>
  <c r="Z617" i="13"/>
  <c r="AA617" i="13" s="1"/>
  <c r="T617" i="13"/>
  <c r="U617" i="13" s="1"/>
  <c r="W617" i="13" s="1"/>
  <c r="Z616" i="13"/>
  <c r="AA616" i="13" s="1"/>
  <c r="T616" i="13"/>
  <c r="Z615" i="13"/>
  <c r="AA615" i="13" s="1"/>
  <c r="T615" i="13"/>
  <c r="V615" i="13" s="1"/>
  <c r="AE615" i="13" s="1"/>
  <c r="Z614" i="13"/>
  <c r="AA614" i="13" s="1"/>
  <c r="T614" i="13"/>
  <c r="Z613" i="13"/>
  <c r="AA613" i="13" s="1"/>
  <c r="T613" i="13"/>
  <c r="V613" i="13" s="1"/>
  <c r="AE613" i="13" s="1"/>
  <c r="Z612" i="13"/>
  <c r="AA612" i="13" s="1"/>
  <c r="T612" i="13"/>
  <c r="U612" i="13" s="1"/>
  <c r="W612" i="13" s="1"/>
  <c r="Z611" i="13"/>
  <c r="AA611" i="13" s="1"/>
  <c r="T611" i="13"/>
  <c r="V611" i="13" s="1"/>
  <c r="AE611" i="13" s="1"/>
  <c r="Z610" i="13"/>
  <c r="AA610" i="13" s="1"/>
  <c r="T610" i="13"/>
  <c r="V610" i="13" s="1"/>
  <c r="AE610" i="13" s="1"/>
  <c r="Z609" i="13"/>
  <c r="AA609" i="13" s="1"/>
  <c r="T609" i="13"/>
  <c r="V609" i="13" s="1"/>
  <c r="AE609" i="13" s="1"/>
  <c r="Z608" i="13"/>
  <c r="AA608" i="13" s="1"/>
  <c r="T608" i="13"/>
  <c r="Z607" i="13"/>
  <c r="AA607" i="13" s="1"/>
  <c r="T607" i="13"/>
  <c r="V607" i="13" s="1"/>
  <c r="AE607" i="13" s="1"/>
  <c r="Z606" i="13"/>
  <c r="AA606" i="13" s="1"/>
  <c r="T606" i="13"/>
  <c r="U606" i="13" s="1"/>
  <c r="W606" i="13" s="1"/>
  <c r="Z605" i="13"/>
  <c r="AA605" i="13" s="1"/>
  <c r="T605" i="13"/>
  <c r="V605" i="13" s="1"/>
  <c r="AE605" i="13" s="1"/>
  <c r="Z604" i="13"/>
  <c r="AA604" i="13" s="1"/>
  <c r="T604" i="13"/>
  <c r="Z603" i="13"/>
  <c r="AA603" i="13" s="1"/>
  <c r="T603" i="13"/>
  <c r="V603" i="13" s="1"/>
  <c r="AE603" i="13" s="1"/>
  <c r="Z602" i="13"/>
  <c r="AA602" i="13" s="1"/>
  <c r="T602" i="13"/>
  <c r="Z601" i="13"/>
  <c r="AA601" i="13" s="1"/>
  <c r="T601" i="13"/>
  <c r="V601" i="13" s="1"/>
  <c r="AE601" i="13" s="1"/>
  <c r="Z600" i="13"/>
  <c r="AA600" i="13" s="1"/>
  <c r="T600" i="13"/>
  <c r="U600" i="13" s="1"/>
  <c r="W600" i="13" s="1"/>
  <c r="Z599" i="13"/>
  <c r="AA599" i="13" s="1"/>
  <c r="T599" i="13"/>
  <c r="Z598" i="13"/>
  <c r="AA598" i="13" s="1"/>
  <c r="T598" i="13"/>
  <c r="Z597" i="13"/>
  <c r="AA597" i="13" s="1"/>
  <c r="T597" i="13"/>
  <c r="V597" i="13" s="1"/>
  <c r="AE597" i="13" s="1"/>
  <c r="Z596" i="13"/>
  <c r="AA596" i="13" s="1"/>
  <c r="T596" i="13"/>
  <c r="Z595" i="13"/>
  <c r="AA595" i="13" s="1"/>
  <c r="T595" i="13"/>
  <c r="V595" i="13" s="1"/>
  <c r="AE595" i="13" s="1"/>
  <c r="Z594" i="13"/>
  <c r="AA594" i="13" s="1"/>
  <c r="T594" i="13"/>
  <c r="U594" i="13" s="1"/>
  <c r="W594" i="13" s="1"/>
  <c r="Z593" i="13"/>
  <c r="AA593" i="13" s="1"/>
  <c r="T593" i="13"/>
  <c r="V593" i="13" s="1"/>
  <c r="AE593" i="13" s="1"/>
  <c r="Z592" i="13"/>
  <c r="AA592" i="13" s="1"/>
  <c r="T592" i="13"/>
  <c r="Z591" i="13"/>
  <c r="AA591" i="13" s="1"/>
  <c r="T591" i="13"/>
  <c r="V591" i="13" s="1"/>
  <c r="AE591" i="13" s="1"/>
  <c r="Z590" i="13"/>
  <c r="AA590" i="13" s="1"/>
  <c r="T590" i="13"/>
  <c r="U590" i="13" s="1"/>
  <c r="W590" i="13" s="1"/>
  <c r="AF590" i="13" s="1"/>
  <c r="Z589" i="13"/>
  <c r="AA589" i="13" s="1"/>
  <c r="T589" i="13"/>
  <c r="Z588" i="13"/>
  <c r="AA588" i="13" s="1"/>
  <c r="T588" i="13"/>
  <c r="U588" i="13" s="1"/>
  <c r="W588" i="13" s="1"/>
  <c r="Z587" i="13"/>
  <c r="AA587" i="13" s="1"/>
  <c r="T587" i="13"/>
  <c r="V587" i="13" s="1"/>
  <c r="AE587" i="13" s="1"/>
  <c r="Z586" i="13"/>
  <c r="AA586" i="13" s="1"/>
  <c r="T586" i="13"/>
  <c r="Z585" i="13"/>
  <c r="AA585" i="13" s="1"/>
  <c r="T585" i="13"/>
  <c r="V585" i="13" s="1"/>
  <c r="AE585" i="13" s="1"/>
  <c r="Z584" i="13"/>
  <c r="AA584" i="13" s="1"/>
  <c r="T584" i="13"/>
  <c r="U584" i="13" s="1"/>
  <c r="W584" i="13" s="1"/>
  <c r="AF584" i="13" s="1"/>
  <c r="Z583" i="13"/>
  <c r="AA583" i="13" s="1"/>
  <c r="T583" i="13"/>
  <c r="V583" i="13" s="1"/>
  <c r="AE583" i="13" s="1"/>
  <c r="Z582" i="13"/>
  <c r="AA582" i="13" s="1"/>
  <c r="T582" i="13"/>
  <c r="U582" i="13" s="1"/>
  <c r="W582" i="13" s="1"/>
  <c r="Z581" i="13"/>
  <c r="AA581" i="13" s="1"/>
  <c r="T581" i="13"/>
  <c r="V581" i="13" s="1"/>
  <c r="AE581" i="13" s="1"/>
  <c r="Z580" i="13"/>
  <c r="AA580" i="13" s="1"/>
  <c r="T580" i="13"/>
  <c r="V580" i="13" s="1"/>
  <c r="AE580" i="13" s="1"/>
  <c r="Z579" i="13"/>
  <c r="AA579" i="13" s="1"/>
  <c r="T579" i="13"/>
  <c r="Z578" i="13"/>
  <c r="AA578" i="13" s="1"/>
  <c r="T578" i="13"/>
  <c r="U578" i="13" s="1"/>
  <c r="W578" i="13" s="1"/>
  <c r="AF578" i="13" s="1"/>
  <c r="Z577" i="13"/>
  <c r="AA577" i="13" s="1"/>
  <c r="T577" i="13"/>
  <c r="V577" i="13" s="1"/>
  <c r="AE577" i="13" s="1"/>
  <c r="Z576" i="13"/>
  <c r="AA576" i="13" s="1"/>
  <c r="T576" i="13"/>
  <c r="U576" i="13" s="1"/>
  <c r="W576" i="13" s="1"/>
  <c r="Z575" i="13"/>
  <c r="AA575" i="13" s="1"/>
  <c r="T575" i="13"/>
  <c r="U575" i="13" s="1"/>
  <c r="W575" i="13" s="1"/>
  <c r="Z574" i="13"/>
  <c r="AA574" i="13" s="1"/>
  <c r="T574" i="13"/>
  <c r="U574" i="13" s="1"/>
  <c r="W574" i="13" s="1"/>
  <c r="Z573" i="13"/>
  <c r="AA573" i="13" s="1"/>
  <c r="T573" i="13"/>
  <c r="V573" i="13" s="1"/>
  <c r="AE573" i="13" s="1"/>
  <c r="Z572" i="13"/>
  <c r="AA572" i="13" s="1"/>
  <c r="T572" i="13"/>
  <c r="Z571" i="13"/>
  <c r="AA571" i="13" s="1"/>
  <c r="T571" i="13"/>
  <c r="Z570" i="13"/>
  <c r="AA570" i="13" s="1"/>
  <c r="T570" i="13"/>
  <c r="Z569" i="13"/>
  <c r="AA569" i="13" s="1"/>
  <c r="T569" i="13"/>
  <c r="Z568" i="13"/>
  <c r="AA568" i="13" s="1"/>
  <c r="T568" i="13"/>
  <c r="Z567" i="13"/>
  <c r="AA567" i="13" s="1"/>
  <c r="T567" i="13"/>
  <c r="Z566" i="13"/>
  <c r="AA566" i="13" s="1"/>
  <c r="T566" i="13"/>
  <c r="U566" i="13" s="1"/>
  <c r="W566" i="13" s="1"/>
  <c r="AF566" i="13" s="1"/>
  <c r="Z565" i="13"/>
  <c r="AA565" i="13" s="1"/>
  <c r="T565" i="13"/>
  <c r="V565" i="13" s="1"/>
  <c r="AE565" i="13" s="1"/>
  <c r="Z564" i="13"/>
  <c r="AA564" i="13" s="1"/>
  <c r="T564" i="13"/>
  <c r="U564" i="13" s="1"/>
  <c r="W564" i="13" s="1"/>
  <c r="AF564" i="13" s="1"/>
  <c r="Z563" i="13"/>
  <c r="AA563" i="13" s="1"/>
  <c r="T563" i="13"/>
  <c r="Z562" i="13"/>
  <c r="AA562" i="13" s="1"/>
  <c r="T562" i="13"/>
  <c r="Z561" i="13"/>
  <c r="AA561" i="13" s="1"/>
  <c r="T561" i="13"/>
  <c r="V561" i="13" s="1"/>
  <c r="AE561" i="13" s="1"/>
  <c r="Z560" i="13"/>
  <c r="AA560" i="13" s="1"/>
  <c r="T560" i="13"/>
  <c r="U560" i="13" s="1"/>
  <c r="W560" i="13" s="1"/>
  <c r="AF560" i="13" s="1"/>
  <c r="Z559" i="13"/>
  <c r="AA559" i="13" s="1"/>
  <c r="T559" i="13"/>
  <c r="V559" i="13" s="1"/>
  <c r="AE559" i="13" s="1"/>
  <c r="Z558" i="13"/>
  <c r="AA558" i="13" s="1"/>
  <c r="T558" i="13"/>
  <c r="Z557" i="13"/>
  <c r="AA557" i="13" s="1"/>
  <c r="T557" i="13"/>
  <c r="U557" i="13" s="1"/>
  <c r="W557" i="13" s="1"/>
  <c r="Z556" i="13"/>
  <c r="AA556" i="13" s="1"/>
  <c r="T556" i="13"/>
  <c r="V556" i="13" s="1"/>
  <c r="AE556" i="13" s="1"/>
  <c r="Z555" i="13"/>
  <c r="AA555" i="13" s="1"/>
  <c r="T555" i="13"/>
  <c r="Z554" i="13"/>
  <c r="AA554" i="13" s="1"/>
  <c r="T554" i="13"/>
  <c r="Z553" i="13"/>
  <c r="AA553" i="13" s="1"/>
  <c r="T553" i="13"/>
  <c r="Z552" i="13"/>
  <c r="AA552" i="13" s="1"/>
  <c r="T552" i="13"/>
  <c r="U552" i="13" s="1"/>
  <c r="W552" i="13" s="1"/>
  <c r="Z551" i="13"/>
  <c r="AA551" i="13" s="1"/>
  <c r="T551" i="13"/>
  <c r="V551" i="13" s="1"/>
  <c r="AE551" i="13" s="1"/>
  <c r="Z550" i="13"/>
  <c r="AA550" i="13" s="1"/>
  <c r="T550" i="13"/>
  <c r="V550" i="13" s="1"/>
  <c r="AE550" i="13" s="1"/>
  <c r="Z549" i="13"/>
  <c r="AA549" i="13" s="1"/>
  <c r="T549" i="13"/>
  <c r="Z548" i="13"/>
  <c r="AA548" i="13" s="1"/>
  <c r="T548" i="13"/>
  <c r="Z547" i="13"/>
  <c r="AA547" i="13" s="1"/>
  <c r="T547" i="13"/>
  <c r="V547" i="13" s="1"/>
  <c r="AE547" i="13" s="1"/>
  <c r="Z546" i="13"/>
  <c r="AA546" i="13" s="1"/>
  <c r="T546" i="13"/>
  <c r="U546" i="13" s="1"/>
  <c r="W546" i="13" s="1"/>
  <c r="Z545" i="13"/>
  <c r="AA545" i="13" s="1"/>
  <c r="T545" i="13"/>
  <c r="V545" i="13" s="1"/>
  <c r="AE545" i="13" s="1"/>
  <c r="Z544" i="13"/>
  <c r="AA544" i="13" s="1"/>
  <c r="T544" i="13"/>
  <c r="Z543" i="13"/>
  <c r="AA543" i="13" s="1"/>
  <c r="T543" i="13"/>
  <c r="Z542" i="13"/>
  <c r="AA542" i="13" s="1"/>
  <c r="T542" i="13"/>
  <c r="Z541" i="13"/>
  <c r="AA541" i="13" s="1"/>
  <c r="T541" i="13"/>
  <c r="V541" i="13" s="1"/>
  <c r="AE541" i="13" s="1"/>
  <c r="Z540" i="13"/>
  <c r="AA540" i="13" s="1"/>
  <c r="T540" i="13"/>
  <c r="Z539" i="13"/>
  <c r="AA539" i="13" s="1"/>
  <c r="T539" i="13"/>
  <c r="Z538" i="13"/>
  <c r="AA538" i="13" s="1"/>
  <c r="T538" i="13"/>
  <c r="U538" i="13" s="1"/>
  <c r="W538" i="13" s="1"/>
  <c r="Z537" i="13"/>
  <c r="AA537" i="13" s="1"/>
  <c r="T537" i="13"/>
  <c r="Z536" i="13"/>
  <c r="AA536" i="13" s="1"/>
  <c r="T536" i="13"/>
  <c r="U536" i="13" s="1"/>
  <c r="W536" i="13" s="1"/>
  <c r="AF536" i="13" s="1"/>
  <c r="Z535" i="13"/>
  <c r="AA535" i="13" s="1"/>
  <c r="T535" i="13"/>
  <c r="V535" i="13" s="1"/>
  <c r="AE535" i="13" s="1"/>
  <c r="Z534" i="13"/>
  <c r="AA534" i="13" s="1"/>
  <c r="T534" i="13"/>
  <c r="U534" i="13" s="1"/>
  <c r="W534" i="13" s="1"/>
  <c r="Z533" i="13"/>
  <c r="AA533" i="13" s="1"/>
  <c r="T533" i="13"/>
  <c r="V533" i="13" s="1"/>
  <c r="AE533" i="13" s="1"/>
  <c r="Z532" i="13"/>
  <c r="AA532" i="13" s="1"/>
  <c r="T532" i="13"/>
  <c r="V532" i="13" s="1"/>
  <c r="AE532" i="13" s="1"/>
  <c r="Z531" i="13"/>
  <c r="AA531" i="13" s="1"/>
  <c r="T531" i="13"/>
  <c r="V531" i="13" s="1"/>
  <c r="AE531" i="13" s="1"/>
  <c r="Z530" i="13"/>
  <c r="AA530" i="13" s="1"/>
  <c r="T530" i="13"/>
  <c r="U530" i="13" s="1"/>
  <c r="W530" i="13" s="1"/>
  <c r="Z529" i="13"/>
  <c r="AA529" i="13" s="1"/>
  <c r="T529" i="13"/>
  <c r="Z528" i="13"/>
  <c r="AA528" i="13" s="1"/>
  <c r="T528" i="13"/>
  <c r="U528" i="13" s="1"/>
  <c r="W528" i="13" s="1"/>
  <c r="Z527" i="13"/>
  <c r="AA527" i="13" s="1"/>
  <c r="T527" i="13"/>
  <c r="V527" i="13" s="1"/>
  <c r="AE527" i="13" s="1"/>
  <c r="Z526" i="13"/>
  <c r="AA526" i="13" s="1"/>
  <c r="T526" i="13"/>
  <c r="V526" i="13" s="1"/>
  <c r="AE526" i="13" s="1"/>
  <c r="Z525" i="13"/>
  <c r="AA525" i="13" s="1"/>
  <c r="T525" i="13"/>
  <c r="V525" i="13" s="1"/>
  <c r="AE525" i="13" s="1"/>
  <c r="Z524" i="13"/>
  <c r="AA524" i="13" s="1"/>
  <c r="T524" i="13"/>
  <c r="Z523" i="13"/>
  <c r="AA523" i="13" s="1"/>
  <c r="T523" i="13"/>
  <c r="Z522" i="13"/>
  <c r="AA522" i="13" s="1"/>
  <c r="T522" i="13"/>
  <c r="Z521" i="13"/>
  <c r="AA521" i="13" s="1"/>
  <c r="T521" i="13"/>
  <c r="V521" i="13" s="1"/>
  <c r="AE521" i="13" s="1"/>
  <c r="Z520" i="13"/>
  <c r="AA520" i="13" s="1"/>
  <c r="T520" i="13"/>
  <c r="U520" i="13" s="1"/>
  <c r="W520" i="13" s="1"/>
  <c r="Z519" i="13"/>
  <c r="AA519" i="13" s="1"/>
  <c r="T519" i="13"/>
  <c r="Z518" i="13"/>
  <c r="AA518" i="13" s="1"/>
  <c r="T518" i="13"/>
  <c r="U518" i="13" s="1"/>
  <c r="W518" i="13" s="1"/>
  <c r="AF518" i="13" s="1"/>
  <c r="Z517" i="13"/>
  <c r="AA517" i="13" s="1"/>
  <c r="T517" i="13"/>
  <c r="Z516" i="13"/>
  <c r="AA516" i="13" s="1"/>
  <c r="T516" i="13"/>
  <c r="U516" i="13" s="1"/>
  <c r="W516" i="13" s="1"/>
  <c r="Z515" i="13"/>
  <c r="AA515" i="13" s="1"/>
  <c r="T515" i="13"/>
  <c r="V515" i="13" s="1"/>
  <c r="AE515" i="13" s="1"/>
  <c r="Z514" i="13"/>
  <c r="AA514" i="13" s="1"/>
  <c r="T514" i="13"/>
  <c r="V514" i="13" s="1"/>
  <c r="AE514" i="13" s="1"/>
  <c r="Z513" i="13"/>
  <c r="AA513" i="13" s="1"/>
  <c r="T513" i="13"/>
  <c r="Z512" i="13"/>
  <c r="AA512" i="13" s="1"/>
  <c r="T512" i="13"/>
  <c r="V512" i="13" s="1"/>
  <c r="AE512" i="13" s="1"/>
  <c r="Z511" i="13"/>
  <c r="AA511" i="13" s="1"/>
  <c r="T511" i="13"/>
  <c r="Z510" i="13"/>
  <c r="AA510" i="13" s="1"/>
  <c r="T510" i="13"/>
  <c r="U510" i="13" s="1"/>
  <c r="W510" i="13" s="1"/>
  <c r="Z509" i="13"/>
  <c r="AA509" i="13" s="1"/>
  <c r="T509" i="13"/>
  <c r="U509" i="13" s="1"/>
  <c r="W509" i="13" s="1"/>
  <c r="Z508" i="13"/>
  <c r="AA508" i="13" s="1"/>
  <c r="T508" i="13"/>
  <c r="V508" i="13" s="1"/>
  <c r="AE508" i="13" s="1"/>
  <c r="Z507" i="13"/>
  <c r="AA507" i="13" s="1"/>
  <c r="T507" i="13"/>
  <c r="Z506" i="13"/>
  <c r="AA506" i="13" s="1"/>
  <c r="T506" i="13"/>
  <c r="V506" i="13" s="1"/>
  <c r="AE506" i="13" s="1"/>
  <c r="Z505" i="13"/>
  <c r="AA505" i="13" s="1"/>
  <c r="T505" i="13"/>
  <c r="Z504" i="13"/>
  <c r="AA504" i="13" s="1"/>
  <c r="T504" i="13"/>
  <c r="U504" i="13" s="1"/>
  <c r="W504" i="13" s="1"/>
  <c r="Z503" i="13"/>
  <c r="AA503" i="13" s="1"/>
  <c r="T503" i="13"/>
  <c r="U503" i="13" s="1"/>
  <c r="W503" i="13" s="1"/>
  <c r="Z502" i="13"/>
  <c r="AA502" i="13" s="1"/>
  <c r="T502" i="13"/>
  <c r="V502" i="13" s="1"/>
  <c r="AE502" i="13" s="1"/>
  <c r="Z501" i="13"/>
  <c r="AA501" i="13" s="1"/>
  <c r="T501" i="13"/>
  <c r="Z500" i="13"/>
  <c r="AA500" i="13" s="1"/>
  <c r="T500" i="13"/>
  <c r="V500" i="13" s="1"/>
  <c r="AE500" i="13" s="1"/>
  <c r="Z499" i="13"/>
  <c r="AA499" i="13" s="1"/>
  <c r="T499" i="13"/>
  <c r="Z498" i="13"/>
  <c r="AA498" i="13" s="1"/>
  <c r="T498" i="13"/>
  <c r="U498" i="13" s="1"/>
  <c r="W498" i="13" s="1"/>
  <c r="Z497" i="13"/>
  <c r="AA497" i="13" s="1"/>
  <c r="T497" i="13"/>
  <c r="V497" i="13" s="1"/>
  <c r="AE497" i="13" s="1"/>
  <c r="Z496" i="13"/>
  <c r="AA496" i="13" s="1"/>
  <c r="T496" i="13"/>
  <c r="V496" i="13" s="1"/>
  <c r="AE496" i="13" s="1"/>
  <c r="Z495" i="13"/>
  <c r="AA495" i="13" s="1"/>
  <c r="T495" i="13"/>
  <c r="Z494" i="13"/>
  <c r="AA494" i="13" s="1"/>
  <c r="T494" i="13"/>
  <c r="V494" i="13" s="1"/>
  <c r="AE494" i="13" s="1"/>
  <c r="Z493" i="13"/>
  <c r="AA493" i="13" s="1"/>
  <c r="T493" i="13"/>
  <c r="Z492" i="13"/>
  <c r="AA492" i="13" s="1"/>
  <c r="T492" i="13"/>
  <c r="V492" i="13" s="1"/>
  <c r="AE492" i="13" s="1"/>
  <c r="Z491" i="13"/>
  <c r="AA491" i="13" s="1"/>
  <c r="T491" i="13"/>
  <c r="U491" i="13" s="1"/>
  <c r="W491" i="13" s="1"/>
  <c r="AF491" i="13" s="1"/>
  <c r="Z490" i="13"/>
  <c r="AA490" i="13" s="1"/>
  <c r="T490" i="13"/>
  <c r="U490" i="13" s="1"/>
  <c r="W490" i="13" s="1"/>
  <c r="Z489" i="13"/>
  <c r="AA489" i="13" s="1"/>
  <c r="T489" i="13"/>
  <c r="U489" i="13" s="1"/>
  <c r="W489" i="13" s="1"/>
  <c r="Z488" i="13"/>
  <c r="AA488" i="13" s="1"/>
  <c r="T488" i="13"/>
  <c r="V488" i="13" s="1"/>
  <c r="AE488" i="13" s="1"/>
  <c r="Z487" i="13"/>
  <c r="AA487" i="13" s="1"/>
  <c r="T487" i="13"/>
  <c r="Z486" i="13"/>
  <c r="AA486" i="13" s="1"/>
  <c r="T486" i="13"/>
  <c r="V486" i="13" s="1"/>
  <c r="AE486" i="13" s="1"/>
  <c r="Z485" i="13"/>
  <c r="AA485" i="13" s="1"/>
  <c r="T485" i="13"/>
  <c r="U485" i="13" s="1"/>
  <c r="W485" i="13" s="1"/>
  <c r="AF485" i="13" s="1"/>
  <c r="Z484" i="13"/>
  <c r="AA484" i="13" s="1"/>
  <c r="T484" i="13"/>
  <c r="V484" i="13" s="1"/>
  <c r="AE484" i="13" s="1"/>
  <c r="Z483" i="13"/>
  <c r="AA483" i="13" s="1"/>
  <c r="T483" i="13"/>
  <c r="U483" i="13" s="1"/>
  <c r="W483" i="13" s="1"/>
  <c r="Z482" i="13"/>
  <c r="AA482" i="13" s="1"/>
  <c r="T482" i="13"/>
  <c r="V482" i="13" s="1"/>
  <c r="AE482" i="13" s="1"/>
  <c r="Z481" i="13"/>
  <c r="AA481" i="13" s="1"/>
  <c r="T481" i="13"/>
  <c r="Z480" i="13"/>
  <c r="AA480" i="13" s="1"/>
  <c r="T480" i="13"/>
  <c r="U480" i="13" s="1"/>
  <c r="W480" i="13" s="1"/>
  <c r="Z479" i="13"/>
  <c r="AA479" i="13" s="1"/>
  <c r="T479" i="13"/>
  <c r="V479" i="13" s="1"/>
  <c r="AE479" i="13" s="1"/>
  <c r="Z478" i="13"/>
  <c r="AA478" i="13" s="1"/>
  <c r="T478" i="13"/>
  <c r="V478" i="13" s="1"/>
  <c r="AE478" i="13" s="1"/>
  <c r="Z477" i="13"/>
  <c r="AA477" i="13" s="1"/>
  <c r="T477" i="13"/>
  <c r="V477" i="13" s="1"/>
  <c r="AE477" i="13" s="1"/>
  <c r="Z476" i="13"/>
  <c r="AA476" i="13" s="1"/>
  <c r="T476" i="13"/>
  <c r="V476" i="13" s="1"/>
  <c r="AE476" i="13" s="1"/>
  <c r="Z475" i="13"/>
  <c r="AA475" i="13" s="1"/>
  <c r="T475" i="13"/>
  <c r="Z474" i="13"/>
  <c r="AA474" i="13" s="1"/>
  <c r="T474" i="13"/>
  <c r="U474" i="13" s="1"/>
  <c r="W474" i="13" s="1"/>
  <c r="Z473" i="13"/>
  <c r="AA473" i="13" s="1"/>
  <c r="T473" i="13"/>
  <c r="Z472" i="13"/>
  <c r="AA472" i="13" s="1"/>
  <c r="T472" i="13"/>
  <c r="V472" i="13" s="1"/>
  <c r="AE472" i="13" s="1"/>
  <c r="Z471" i="13"/>
  <c r="AA471" i="13" s="1"/>
  <c r="T471" i="13"/>
  <c r="V471" i="13" s="1"/>
  <c r="AE471" i="13" s="1"/>
  <c r="Z470" i="13"/>
  <c r="AA470" i="13" s="1"/>
  <c r="T470" i="13"/>
  <c r="Z469" i="13"/>
  <c r="AA469" i="13" s="1"/>
  <c r="T469" i="13"/>
  <c r="Z468" i="13"/>
  <c r="AA468" i="13" s="1"/>
  <c r="T468" i="13"/>
  <c r="V468" i="13" s="1"/>
  <c r="AE468" i="13" s="1"/>
  <c r="Z467" i="13"/>
  <c r="AA467" i="13" s="1"/>
  <c r="T467" i="13"/>
  <c r="V467" i="13" s="1"/>
  <c r="AE467" i="13" s="1"/>
  <c r="Z466" i="13"/>
  <c r="AA466" i="13" s="1"/>
  <c r="T466" i="13"/>
  <c r="U466" i="13" s="1"/>
  <c r="W466" i="13" s="1"/>
  <c r="Z465" i="13"/>
  <c r="AA465" i="13" s="1"/>
  <c r="T465" i="13"/>
  <c r="V465" i="13" s="1"/>
  <c r="AE465" i="13" s="1"/>
  <c r="Z464" i="13"/>
  <c r="AA464" i="13" s="1"/>
  <c r="T464" i="13"/>
  <c r="V464" i="13" s="1"/>
  <c r="AE464" i="13" s="1"/>
  <c r="Z463" i="13"/>
  <c r="AA463" i="13" s="1"/>
  <c r="T463" i="13"/>
  <c r="Z76" i="13"/>
  <c r="AA76" i="13" s="1"/>
  <c r="T76" i="13"/>
  <c r="V76" i="13" s="1"/>
  <c r="AE76" i="13" s="1"/>
  <c r="Z75" i="13"/>
  <c r="AA75" i="13" s="1"/>
  <c r="T75" i="13"/>
  <c r="U75" i="13" s="1"/>
  <c r="W75" i="13" s="1"/>
  <c r="AF75" i="13" s="1"/>
  <c r="Z74" i="13"/>
  <c r="AA74" i="13" s="1"/>
  <c r="T74" i="13"/>
  <c r="U74" i="13" s="1"/>
  <c r="W74" i="13" s="1"/>
  <c r="Z73" i="13"/>
  <c r="AA73" i="13" s="1"/>
  <c r="T73" i="13"/>
  <c r="U73" i="13" s="1"/>
  <c r="W73" i="13" s="1"/>
  <c r="Z72" i="13"/>
  <c r="AA72" i="13" s="1"/>
  <c r="T72" i="13"/>
  <c r="V72" i="13" s="1"/>
  <c r="AE72" i="13" s="1"/>
  <c r="Z71" i="13"/>
  <c r="AA71" i="13" s="1"/>
  <c r="T71" i="13"/>
  <c r="Z70" i="13"/>
  <c r="AA70" i="13" s="1"/>
  <c r="T70" i="13"/>
  <c r="V70" i="13" s="1"/>
  <c r="AE70" i="13" s="1"/>
  <c r="Z69" i="13"/>
  <c r="AA69" i="13" s="1"/>
  <c r="T69" i="13"/>
  <c r="U69" i="13" s="1"/>
  <c r="W69" i="13" s="1"/>
  <c r="AF69" i="13" s="1"/>
  <c r="Z68" i="13"/>
  <c r="AA68" i="13" s="1"/>
  <c r="T68" i="13"/>
  <c r="U68" i="13" s="1"/>
  <c r="W68" i="13" s="1"/>
  <c r="Z67" i="13"/>
  <c r="AA67" i="13" s="1"/>
  <c r="T67" i="13"/>
  <c r="V67" i="13" s="1"/>
  <c r="AE67" i="13" s="1"/>
  <c r="Z66" i="13"/>
  <c r="AA66" i="13" s="1"/>
  <c r="T66" i="13"/>
  <c r="Z65" i="13"/>
  <c r="AA65" i="13" s="1"/>
  <c r="T65" i="13"/>
  <c r="Z64" i="13"/>
  <c r="AA64" i="13" s="1"/>
  <c r="T64" i="13"/>
  <c r="V64" i="13" s="1"/>
  <c r="AE64" i="13" s="1"/>
  <c r="Z63" i="13"/>
  <c r="AA63" i="13" s="1"/>
  <c r="T63" i="13"/>
  <c r="U63" i="13" s="1"/>
  <c r="W63" i="13" s="1"/>
  <c r="AF63" i="13" s="1"/>
  <c r="Z62" i="13"/>
  <c r="AA62" i="13" s="1"/>
  <c r="T62" i="13"/>
  <c r="V62" i="13" s="1"/>
  <c r="AE62" i="13" s="1"/>
  <c r="Z61" i="13"/>
  <c r="AA61" i="13" s="1"/>
  <c r="T61" i="13"/>
  <c r="V61" i="13" s="1"/>
  <c r="AE61" i="13" s="1"/>
  <c r="Z60" i="13"/>
  <c r="AA60" i="13" s="1"/>
  <c r="T60" i="13"/>
  <c r="V60" i="13" s="1"/>
  <c r="AE60" i="13" s="1"/>
  <c r="Z59" i="13"/>
  <c r="AA59" i="13" s="1"/>
  <c r="T59" i="13"/>
  <c r="Z58" i="13"/>
  <c r="AA58" i="13" s="1"/>
  <c r="T58" i="13"/>
  <c r="V58" i="13" s="1"/>
  <c r="AE58" i="13" s="1"/>
  <c r="Z57" i="13"/>
  <c r="AA57" i="13" s="1"/>
  <c r="T57" i="13"/>
  <c r="U57" i="13" s="1"/>
  <c r="W57" i="13" s="1"/>
  <c r="Z56" i="13"/>
  <c r="AA56" i="13" s="1"/>
  <c r="T56" i="13"/>
  <c r="U56" i="13" s="1"/>
  <c r="W56" i="13" s="1"/>
  <c r="Z55" i="13"/>
  <c r="AA55" i="13" s="1"/>
  <c r="T55" i="13"/>
  <c r="U55" i="13" s="1"/>
  <c r="W55" i="13" s="1"/>
  <c r="Z54" i="13"/>
  <c r="AA54" i="13" s="1"/>
  <c r="T54" i="13"/>
  <c r="V54" i="13" s="1"/>
  <c r="AE54" i="13" s="1"/>
  <c r="Z53" i="13"/>
  <c r="AA53" i="13" s="1"/>
  <c r="T53" i="13"/>
  <c r="Z52" i="13"/>
  <c r="AA52" i="13" s="1"/>
  <c r="T52" i="13"/>
  <c r="V52" i="13" s="1"/>
  <c r="AE52" i="13" s="1"/>
  <c r="Z51" i="13"/>
  <c r="AA51" i="13" s="1"/>
  <c r="T51" i="13"/>
  <c r="Z50" i="13"/>
  <c r="AA50" i="13" s="1"/>
  <c r="T50" i="13"/>
  <c r="V50" i="13" s="1"/>
  <c r="AE50" i="13" s="1"/>
  <c r="Z49" i="13"/>
  <c r="AA49" i="13" s="1"/>
  <c r="T49" i="13"/>
  <c r="V49" i="13" s="1"/>
  <c r="AE49" i="13" s="1"/>
  <c r="Z48" i="13"/>
  <c r="AA48" i="13" s="1"/>
  <c r="T48" i="13"/>
  <c r="Z47" i="13"/>
  <c r="AA47" i="13" s="1"/>
  <c r="T47" i="13"/>
  <c r="Z46" i="13"/>
  <c r="AA46" i="13" s="1"/>
  <c r="T46" i="13"/>
  <c r="V46" i="13" s="1"/>
  <c r="AE46" i="13" s="1"/>
  <c r="Z45" i="13"/>
  <c r="AA45" i="13" s="1"/>
  <c r="T45" i="13"/>
  <c r="U45" i="13" s="1"/>
  <c r="W45" i="13" s="1"/>
  <c r="Z44" i="13"/>
  <c r="AA44" i="13" s="1"/>
  <c r="T44" i="13"/>
  <c r="U44" i="13" s="1"/>
  <c r="W44" i="13" s="1"/>
  <c r="Z43" i="13"/>
  <c r="AA43" i="13" s="1"/>
  <c r="T43" i="13"/>
  <c r="U43" i="13" s="1"/>
  <c r="W43" i="13" s="1"/>
  <c r="Z42" i="13"/>
  <c r="AA42" i="13" s="1"/>
  <c r="T42" i="13"/>
  <c r="V42" i="13" s="1"/>
  <c r="AE42" i="13" s="1"/>
  <c r="Z41" i="13"/>
  <c r="AA41" i="13" s="1"/>
  <c r="T41" i="13"/>
  <c r="Z40" i="13"/>
  <c r="AA40" i="13" s="1"/>
  <c r="T40" i="13"/>
  <c r="V40" i="13" s="1"/>
  <c r="AE40" i="13" s="1"/>
  <c r="Z39" i="13"/>
  <c r="AA39" i="13" s="1"/>
  <c r="T39" i="13"/>
  <c r="V39" i="13" s="1"/>
  <c r="AE39" i="13" s="1"/>
  <c r="Z38" i="13"/>
  <c r="AA38" i="13" s="1"/>
  <c r="T38" i="13"/>
  <c r="V38" i="13" s="1"/>
  <c r="AE38" i="13" s="1"/>
  <c r="Z37" i="13"/>
  <c r="AA37" i="13" s="1"/>
  <c r="T37" i="13"/>
  <c r="V37" i="13" s="1"/>
  <c r="AE37" i="13" s="1"/>
  <c r="Z36" i="13"/>
  <c r="AA36" i="13" s="1"/>
  <c r="T36" i="13"/>
  <c r="V36" i="13" s="1"/>
  <c r="AE36" i="13" s="1"/>
  <c r="Z35" i="13"/>
  <c r="AA35" i="13" s="1"/>
  <c r="T35" i="13"/>
  <c r="Z34" i="13"/>
  <c r="AA34" i="13" s="1"/>
  <c r="T34" i="13"/>
  <c r="U34" i="13" s="1"/>
  <c r="W34" i="13" s="1"/>
  <c r="Z33" i="13"/>
  <c r="AA33" i="13" s="1"/>
  <c r="T33" i="13"/>
  <c r="V33" i="13" s="1"/>
  <c r="AE33" i="13" s="1"/>
  <c r="Z32" i="13"/>
  <c r="AA32" i="13" s="1"/>
  <c r="T32" i="13"/>
  <c r="U32" i="13" s="1"/>
  <c r="W32" i="13" s="1"/>
  <c r="Z31" i="13"/>
  <c r="AA31" i="13" s="1"/>
  <c r="T31" i="13"/>
  <c r="U31" i="13" s="1"/>
  <c r="W31" i="13" s="1"/>
  <c r="Z30" i="13"/>
  <c r="AA30" i="13" s="1"/>
  <c r="T30" i="13"/>
  <c r="V30" i="13" s="1"/>
  <c r="AE30" i="13" s="1"/>
  <c r="Z29" i="13"/>
  <c r="AA29" i="13" s="1"/>
  <c r="T29" i="13"/>
  <c r="Z28" i="13"/>
  <c r="AA28" i="13" s="1"/>
  <c r="T28" i="13"/>
  <c r="U28" i="13" s="1"/>
  <c r="W28" i="13" s="1"/>
  <c r="AF28" i="13" s="1"/>
  <c r="Z27" i="13"/>
  <c r="AA27" i="13" s="1"/>
  <c r="T27" i="13"/>
  <c r="V27" i="13" s="1"/>
  <c r="AE27" i="13" s="1"/>
  <c r="Z26" i="13"/>
  <c r="AA26" i="13" s="1"/>
  <c r="T26" i="13"/>
  <c r="V26" i="13" s="1"/>
  <c r="AE26" i="13" s="1"/>
  <c r="Z25" i="13"/>
  <c r="AA25" i="13" s="1"/>
  <c r="T25" i="13"/>
  <c r="U25" i="13" s="1"/>
  <c r="W25" i="13" s="1"/>
  <c r="Z24" i="13"/>
  <c r="AA24" i="13" s="1"/>
  <c r="T24" i="13"/>
  <c r="V24" i="13" s="1"/>
  <c r="AE24" i="13" s="1"/>
  <c r="Z23" i="13"/>
  <c r="AA23" i="13" s="1"/>
  <c r="T23" i="13"/>
  <c r="Z22" i="13"/>
  <c r="AA22" i="13" s="1"/>
  <c r="T22" i="13"/>
  <c r="V22" i="13" s="1"/>
  <c r="AE22" i="13" s="1"/>
  <c r="Z21" i="13"/>
  <c r="AA21" i="13" s="1"/>
  <c r="T21" i="13"/>
  <c r="U21" i="13" s="1"/>
  <c r="W21" i="13" s="1"/>
  <c r="Z20" i="13"/>
  <c r="AA20" i="13" s="1"/>
  <c r="T20" i="13"/>
  <c r="V20" i="13" s="1"/>
  <c r="AE20" i="13" s="1"/>
  <c r="Z19" i="13"/>
  <c r="AA19" i="13" s="1"/>
  <c r="T19" i="13"/>
  <c r="V19" i="13" s="1"/>
  <c r="AE19" i="13" s="1"/>
  <c r="Z18" i="13"/>
  <c r="AA18" i="13" s="1"/>
  <c r="T18" i="13"/>
  <c r="V18" i="13" s="1"/>
  <c r="AE18" i="13" s="1"/>
  <c r="Z17" i="13"/>
  <c r="AA17" i="13" s="1"/>
  <c r="T17" i="13"/>
  <c r="Z16" i="13"/>
  <c r="AA16" i="13" s="1"/>
  <c r="T16" i="13"/>
  <c r="V16" i="13" s="1"/>
  <c r="AE16" i="13" s="1"/>
  <c r="Z15" i="13"/>
  <c r="AA15" i="13" s="1"/>
  <c r="T15" i="13"/>
  <c r="U15" i="13" s="1"/>
  <c r="W15" i="13" s="1"/>
  <c r="AF15" i="13" s="1"/>
  <c r="Z14" i="13"/>
  <c r="AA14" i="13" s="1"/>
  <c r="T14" i="13"/>
  <c r="V14" i="13" s="1"/>
  <c r="AE14" i="13" s="1"/>
  <c r="Z13" i="13"/>
  <c r="AA13" i="13" s="1"/>
  <c r="T13" i="13"/>
  <c r="V13" i="13" s="1"/>
  <c r="AE13" i="13" s="1"/>
  <c r="Z12" i="13"/>
  <c r="AA12" i="13" s="1"/>
  <c r="T12" i="13"/>
  <c r="V12" i="13" s="1"/>
  <c r="AE12" i="13" s="1"/>
  <c r="Z11" i="13"/>
  <c r="AA11" i="13" s="1"/>
  <c r="T11" i="13"/>
  <c r="Z10" i="13"/>
  <c r="AA10" i="13" s="1"/>
  <c r="T10" i="13"/>
  <c r="V10" i="13" s="1"/>
  <c r="AE10" i="13" s="1"/>
  <c r="Z9" i="13"/>
  <c r="AA9" i="13" s="1"/>
  <c r="T9" i="13"/>
  <c r="U9" i="13" s="1"/>
  <c r="W9" i="13" s="1"/>
  <c r="Z8" i="13"/>
  <c r="AA8" i="13" s="1"/>
  <c r="T8" i="13"/>
  <c r="V8" i="13" s="1"/>
  <c r="AE8" i="13" s="1"/>
  <c r="Z7" i="13"/>
  <c r="AA7" i="13" s="1"/>
  <c r="T7" i="13"/>
  <c r="V7" i="13" s="1"/>
  <c r="AE7" i="13" s="1"/>
  <c r="Z6" i="13"/>
  <c r="AA6" i="13" s="1"/>
  <c r="T6" i="13"/>
  <c r="V6" i="13" s="1"/>
  <c r="AE6" i="13" s="1"/>
  <c r="Z5" i="13"/>
  <c r="AA5" i="13" s="1"/>
  <c r="T5" i="13"/>
  <c r="Z254" i="13"/>
  <c r="AA254" i="13" s="1"/>
  <c r="T254" i="13"/>
  <c r="V254" i="13" s="1"/>
  <c r="AE254" i="13" s="1"/>
  <c r="Z253" i="13"/>
  <c r="AA253" i="13" s="1"/>
  <c r="T253" i="13"/>
  <c r="V253" i="13" s="1"/>
  <c r="AE253" i="13" s="1"/>
  <c r="Z252" i="13"/>
  <c r="AA252" i="13" s="1"/>
  <c r="T252" i="13"/>
  <c r="U252" i="13" s="1"/>
  <c r="W252" i="13" s="1"/>
  <c r="Z251" i="13"/>
  <c r="AA251" i="13" s="1"/>
  <c r="T251" i="13"/>
  <c r="V251" i="13" s="1"/>
  <c r="AE251" i="13" s="1"/>
  <c r="Z250" i="13"/>
  <c r="AA250" i="13" s="1"/>
  <c r="T250" i="13"/>
  <c r="V250" i="13" s="1"/>
  <c r="AE250" i="13" s="1"/>
  <c r="Z249" i="13"/>
  <c r="AA249" i="13" s="1"/>
  <c r="T249" i="13"/>
  <c r="V249" i="13" s="1"/>
  <c r="AE249" i="13" s="1"/>
  <c r="Z248" i="13"/>
  <c r="AA248" i="13" s="1"/>
  <c r="T248" i="13"/>
  <c r="V248" i="13" s="1"/>
  <c r="AE248" i="13" s="1"/>
  <c r="Z247" i="13"/>
  <c r="AA247" i="13" s="1"/>
  <c r="T247" i="13"/>
  <c r="V247" i="13" s="1"/>
  <c r="AE247" i="13" s="1"/>
  <c r="Z246" i="13"/>
  <c r="AA246" i="13" s="1"/>
  <c r="T246" i="13"/>
  <c r="U246" i="13" s="1"/>
  <c r="W246" i="13" s="1"/>
  <c r="Z245" i="13"/>
  <c r="AA245" i="13" s="1"/>
  <c r="T245" i="13"/>
  <c r="V245" i="13" s="1"/>
  <c r="AE245" i="13" s="1"/>
  <c r="Z244" i="13"/>
  <c r="AA244" i="13" s="1"/>
  <c r="T244" i="13"/>
  <c r="V244" i="13" s="1"/>
  <c r="AE244" i="13" s="1"/>
  <c r="Z243" i="13"/>
  <c r="AA243" i="13" s="1"/>
  <c r="T243" i="13"/>
  <c r="V243" i="13" s="1"/>
  <c r="AE243" i="13" s="1"/>
  <c r="Z242" i="13"/>
  <c r="AA242" i="13" s="1"/>
  <c r="T242" i="13"/>
  <c r="V242" i="13" s="1"/>
  <c r="AE242" i="13" s="1"/>
  <c r="Z241" i="13"/>
  <c r="AA241" i="13" s="1"/>
  <c r="T241" i="13"/>
  <c r="V241" i="13" s="1"/>
  <c r="AE241" i="13" s="1"/>
  <c r="Z240" i="13"/>
  <c r="AA240" i="13" s="1"/>
  <c r="T240" i="13"/>
  <c r="U240" i="13" s="1"/>
  <c r="W240" i="13" s="1"/>
  <c r="Z239" i="13"/>
  <c r="AA239" i="13" s="1"/>
  <c r="T239" i="13"/>
  <c r="V239" i="13" s="1"/>
  <c r="AE239" i="13" s="1"/>
  <c r="Z238" i="13"/>
  <c r="AA238" i="13" s="1"/>
  <c r="T238" i="13"/>
  <c r="V238" i="13" s="1"/>
  <c r="AE238" i="13" s="1"/>
  <c r="Z237" i="13"/>
  <c r="AA237" i="13" s="1"/>
  <c r="T237" i="13"/>
  <c r="V237" i="13" s="1"/>
  <c r="AE237" i="13" s="1"/>
  <c r="Z236" i="13"/>
  <c r="AA236" i="13" s="1"/>
  <c r="T236" i="13"/>
  <c r="V236" i="13" s="1"/>
  <c r="AE236" i="13" s="1"/>
  <c r="Z235" i="13"/>
  <c r="AA235" i="13" s="1"/>
  <c r="T235" i="13"/>
  <c r="V235" i="13" s="1"/>
  <c r="AE235" i="13" s="1"/>
  <c r="Z234" i="13"/>
  <c r="AA234" i="13" s="1"/>
  <c r="T234" i="13"/>
  <c r="U234" i="13" s="1"/>
  <c r="W234" i="13" s="1"/>
  <c r="Z233" i="13"/>
  <c r="AA233" i="13" s="1"/>
  <c r="T233" i="13"/>
  <c r="V233" i="13" s="1"/>
  <c r="AE233" i="13" s="1"/>
  <c r="Z232" i="13"/>
  <c r="AA232" i="13" s="1"/>
  <c r="T232" i="13"/>
  <c r="V232" i="13" s="1"/>
  <c r="AE232" i="13" s="1"/>
  <c r="Z231" i="13"/>
  <c r="AA231" i="13" s="1"/>
  <c r="T231" i="13"/>
  <c r="V231" i="13" s="1"/>
  <c r="AE231" i="13" s="1"/>
  <c r="Z230" i="13"/>
  <c r="AA230" i="13" s="1"/>
  <c r="T230" i="13"/>
  <c r="V230" i="13" s="1"/>
  <c r="AE230" i="13" s="1"/>
  <c r="Z229" i="13"/>
  <c r="AA229" i="13" s="1"/>
  <c r="T229" i="13"/>
  <c r="Z228" i="13"/>
  <c r="AA228" i="13" s="1"/>
  <c r="T228" i="13"/>
  <c r="U228" i="13" s="1"/>
  <c r="W228" i="13" s="1"/>
  <c r="V730" i="13" l="1"/>
  <c r="AE730" i="13" s="1"/>
  <c r="U104" i="13"/>
  <c r="W104" i="13" s="1"/>
  <c r="V229" i="13"/>
  <c r="AE229" i="13" s="1"/>
  <c r="U229" i="13"/>
  <c r="W229" i="13" s="1"/>
  <c r="AF229" i="13" s="1"/>
  <c r="V74" i="13"/>
  <c r="AE74" i="13" s="1"/>
  <c r="U688" i="13"/>
  <c r="W688" i="13" s="1"/>
  <c r="AF688" i="13" s="1"/>
  <c r="V332" i="13"/>
  <c r="AE332" i="13" s="1"/>
  <c r="V440" i="13"/>
  <c r="AE440" i="13" s="1"/>
  <c r="V223" i="13"/>
  <c r="AE223" i="13" s="1"/>
  <c r="U694" i="13"/>
  <c r="W694" i="13" s="1"/>
  <c r="V362" i="13"/>
  <c r="AE362" i="13" s="1"/>
  <c r="U304" i="13"/>
  <c r="W304" i="13" s="1"/>
  <c r="V359" i="13"/>
  <c r="AE359" i="13" s="1"/>
  <c r="U550" i="13"/>
  <c r="W550" i="13" s="1"/>
  <c r="AF550" i="13" s="1"/>
  <c r="U607" i="13"/>
  <c r="W607" i="13" s="1"/>
  <c r="AF607" i="13" s="1"/>
  <c r="V57" i="13"/>
  <c r="AE57" i="13" s="1"/>
  <c r="U581" i="13"/>
  <c r="W581" i="13" s="1"/>
  <c r="U625" i="13"/>
  <c r="W625" i="13" s="1"/>
  <c r="AF625" i="13" s="1"/>
  <c r="V810" i="13"/>
  <c r="AE810" i="13" s="1"/>
  <c r="V374" i="13"/>
  <c r="AE374" i="13" s="1"/>
  <c r="U425" i="13"/>
  <c r="W425" i="13" s="1"/>
  <c r="AF425" i="13" s="1"/>
  <c r="V133" i="13"/>
  <c r="AE133" i="13" s="1"/>
  <c r="V485" i="13"/>
  <c r="AE485" i="13" s="1"/>
  <c r="U580" i="13"/>
  <c r="W580" i="13" s="1"/>
  <c r="AF580" i="13" s="1"/>
  <c r="U587" i="13"/>
  <c r="W587" i="13" s="1"/>
  <c r="U639" i="13"/>
  <c r="W639" i="13" s="1"/>
  <c r="U664" i="13"/>
  <c r="W664" i="13" s="1"/>
  <c r="U231" i="13"/>
  <c r="W231" i="13" s="1"/>
  <c r="AF231" i="13" s="1"/>
  <c r="V63" i="13"/>
  <c r="AE63" i="13" s="1"/>
  <c r="V557" i="13"/>
  <c r="AE557" i="13" s="1"/>
  <c r="U695" i="13"/>
  <c r="W695" i="13" s="1"/>
  <c r="V801" i="13"/>
  <c r="AE801" i="13" s="1"/>
  <c r="V824" i="13"/>
  <c r="AE824" i="13" s="1"/>
  <c r="U845" i="13"/>
  <c r="W845" i="13" s="1"/>
  <c r="AF845" i="13" s="1"/>
  <c r="V325" i="13"/>
  <c r="AE325" i="13" s="1"/>
  <c r="V338" i="13"/>
  <c r="AE338" i="13" s="1"/>
  <c r="U370" i="13"/>
  <c r="W370" i="13" s="1"/>
  <c r="V126" i="13"/>
  <c r="AE126" i="13" s="1"/>
  <c r="V308" i="13"/>
  <c r="AE308" i="13" s="1"/>
  <c r="U358" i="13"/>
  <c r="W358" i="13" s="1"/>
  <c r="V361" i="13"/>
  <c r="AE361" i="13" s="1"/>
  <c r="U415" i="13"/>
  <c r="W415" i="13" s="1"/>
  <c r="AF415" i="13" s="1"/>
  <c r="V25" i="13"/>
  <c r="AE25" i="13" s="1"/>
  <c r="U531" i="13"/>
  <c r="W531" i="13" s="1"/>
  <c r="V629" i="13"/>
  <c r="AE629" i="13" s="1"/>
  <c r="V849" i="13"/>
  <c r="AE849" i="13" s="1"/>
  <c r="V290" i="13"/>
  <c r="AE290" i="13" s="1"/>
  <c r="U421" i="13"/>
  <c r="W421" i="13" s="1"/>
  <c r="U833" i="13"/>
  <c r="W833" i="13" s="1"/>
  <c r="AF833" i="13" s="1"/>
  <c r="U851" i="13"/>
  <c r="W851" i="13" s="1"/>
  <c r="AF851" i="13" s="1"/>
  <c r="V300" i="13"/>
  <c r="AE300" i="13" s="1"/>
  <c r="U174" i="13"/>
  <c r="W174" i="13" s="1"/>
  <c r="AF174" i="13" s="1"/>
  <c r="V566" i="13"/>
  <c r="AE566" i="13" s="1"/>
  <c r="V584" i="13"/>
  <c r="AE584" i="13" s="1"/>
  <c r="U601" i="13"/>
  <c r="W601" i="13" s="1"/>
  <c r="AF601" i="13" s="1"/>
  <c r="V720" i="13"/>
  <c r="AE720" i="13" s="1"/>
  <c r="V818" i="13"/>
  <c r="AE818" i="13" s="1"/>
  <c r="V269" i="13"/>
  <c r="AE269" i="13" s="1"/>
  <c r="V288" i="13"/>
  <c r="AE288" i="13" s="1"/>
  <c r="U328" i="13"/>
  <c r="W328" i="13" s="1"/>
  <c r="V337" i="13"/>
  <c r="AE337" i="13" s="1"/>
  <c r="V348" i="13"/>
  <c r="AE348" i="13" s="1"/>
  <c r="V444" i="13"/>
  <c r="AE444" i="13" s="1"/>
  <c r="U222" i="13"/>
  <c r="W222" i="13" s="1"/>
  <c r="U61" i="13"/>
  <c r="W61" i="13" s="1"/>
  <c r="U482" i="13"/>
  <c r="W482" i="13" s="1"/>
  <c r="AF482" i="13" s="1"/>
  <c r="V641" i="13"/>
  <c r="AE641" i="13" s="1"/>
  <c r="V709" i="13"/>
  <c r="AE709" i="13" s="1"/>
  <c r="V863" i="13"/>
  <c r="AE863" i="13" s="1"/>
  <c r="V268" i="13"/>
  <c r="AE268" i="13" s="1"/>
  <c r="U287" i="13"/>
  <c r="W287" i="13" s="1"/>
  <c r="AF287" i="13" s="1"/>
  <c r="U320" i="13"/>
  <c r="W320" i="13" s="1"/>
  <c r="U484" i="13"/>
  <c r="W484" i="13" s="1"/>
  <c r="V503" i="13"/>
  <c r="AE503" i="13" s="1"/>
  <c r="V759" i="13"/>
  <c r="AE759" i="13" s="1"/>
  <c r="V852" i="13"/>
  <c r="AE852" i="13" s="1"/>
  <c r="U259" i="13"/>
  <c r="W259" i="13" s="1"/>
  <c r="AF259" i="13" s="1"/>
  <c r="U296" i="13"/>
  <c r="W296" i="13" s="1"/>
  <c r="V365" i="13"/>
  <c r="AE365" i="13" s="1"/>
  <c r="U391" i="13"/>
  <c r="W391" i="13" s="1"/>
  <c r="AF391" i="13" s="1"/>
  <c r="V410" i="13"/>
  <c r="AE410" i="13" s="1"/>
  <c r="U428" i="13"/>
  <c r="W428" i="13" s="1"/>
  <c r="AF428" i="13" s="1"/>
  <c r="V125" i="13"/>
  <c r="AE125" i="13" s="1"/>
  <c r="U161" i="13"/>
  <c r="W161" i="13" s="1"/>
  <c r="V192" i="13"/>
  <c r="AE192" i="13" s="1"/>
  <c r="V575" i="13"/>
  <c r="AE575" i="13" s="1"/>
  <c r="V606" i="13"/>
  <c r="AE606" i="13" s="1"/>
  <c r="U628" i="13"/>
  <c r="W628" i="13" s="1"/>
  <c r="U855" i="13"/>
  <c r="W855" i="13" s="1"/>
  <c r="AF855" i="13" s="1"/>
  <c r="V855" i="13"/>
  <c r="AE855" i="13" s="1"/>
  <c r="V271" i="13"/>
  <c r="AE271" i="13" s="1"/>
  <c r="U271" i="13"/>
  <c r="W271" i="13" s="1"/>
  <c r="AF271" i="13" s="1"/>
  <c r="U420" i="13"/>
  <c r="W420" i="13" s="1"/>
  <c r="V420" i="13"/>
  <c r="AE420" i="13" s="1"/>
  <c r="V437" i="13"/>
  <c r="AE437" i="13" s="1"/>
  <c r="U437" i="13"/>
  <c r="W437" i="13" s="1"/>
  <c r="V446" i="13"/>
  <c r="AE446" i="13" s="1"/>
  <c r="U446" i="13"/>
  <c r="W446" i="13" s="1"/>
  <c r="V131" i="13"/>
  <c r="AE131" i="13" s="1"/>
  <c r="U131" i="13"/>
  <c r="W131" i="13" s="1"/>
  <c r="AF131" i="13" s="1"/>
  <c r="U168" i="13"/>
  <c r="W168" i="13" s="1"/>
  <c r="V168" i="13"/>
  <c r="AE168" i="13" s="1"/>
  <c r="V490" i="13"/>
  <c r="AE490" i="13" s="1"/>
  <c r="U527" i="13"/>
  <c r="W527" i="13" s="1"/>
  <c r="V574" i="13"/>
  <c r="AE574" i="13" s="1"/>
  <c r="V590" i="13"/>
  <c r="AE590" i="13" s="1"/>
  <c r="U623" i="13"/>
  <c r="W623" i="13" s="1"/>
  <c r="AF788" i="13"/>
  <c r="V292" i="13"/>
  <c r="AE292" i="13" s="1"/>
  <c r="U292" i="13"/>
  <c r="W292" i="13" s="1"/>
  <c r="AF292" i="13" s="1"/>
  <c r="V312" i="13"/>
  <c r="AE312" i="13" s="1"/>
  <c r="U312" i="13"/>
  <c r="W312" i="13" s="1"/>
  <c r="V316" i="13"/>
  <c r="AE316" i="13" s="1"/>
  <c r="U316" i="13"/>
  <c r="W316" i="13" s="1"/>
  <c r="U396" i="13"/>
  <c r="W396" i="13" s="1"/>
  <c r="V396" i="13"/>
  <c r="AE396" i="13" s="1"/>
  <c r="V306" i="13"/>
  <c r="AE306" i="13" s="1"/>
  <c r="U306" i="13"/>
  <c r="W306" i="13" s="1"/>
  <c r="V346" i="13"/>
  <c r="AE346" i="13" s="1"/>
  <c r="U346" i="13"/>
  <c r="W346" i="13" s="1"/>
  <c r="U189" i="13"/>
  <c r="W189" i="13" s="1"/>
  <c r="V189" i="13"/>
  <c r="AE189" i="13" s="1"/>
  <c r="V483" i="13"/>
  <c r="AE483" i="13" s="1"/>
  <c r="U715" i="13"/>
  <c r="W715" i="13" s="1"/>
  <c r="V715" i="13"/>
  <c r="AE715" i="13" s="1"/>
  <c r="U815" i="13"/>
  <c r="W815" i="13" s="1"/>
  <c r="AF815" i="13" s="1"/>
  <c r="V815" i="13"/>
  <c r="AE815" i="13" s="1"/>
  <c r="U834" i="13"/>
  <c r="W834" i="13" s="1"/>
  <c r="V834" i="13"/>
  <c r="AE834" i="13" s="1"/>
  <c r="V322" i="13"/>
  <c r="AE322" i="13" s="1"/>
  <c r="U322" i="13"/>
  <c r="W322" i="13" s="1"/>
  <c r="AF322" i="13" s="1"/>
  <c r="U347" i="13"/>
  <c r="W347" i="13" s="1"/>
  <c r="V347" i="13"/>
  <c r="AE347" i="13" s="1"/>
  <c r="U372" i="13"/>
  <c r="W372" i="13" s="1"/>
  <c r="V372" i="13"/>
  <c r="AE372" i="13" s="1"/>
  <c r="U159" i="13"/>
  <c r="W159" i="13" s="1"/>
  <c r="AF159" i="13" s="1"/>
  <c r="V159" i="13"/>
  <c r="AE159" i="13" s="1"/>
  <c r="U176" i="13"/>
  <c r="W176" i="13" s="1"/>
  <c r="AF176" i="13" s="1"/>
  <c r="V176" i="13"/>
  <c r="AE176" i="13" s="1"/>
  <c r="U335" i="13"/>
  <c r="W335" i="13" s="1"/>
  <c r="V335" i="13"/>
  <c r="AE335" i="13" s="1"/>
  <c r="V364" i="13"/>
  <c r="AE364" i="13" s="1"/>
  <c r="U364" i="13"/>
  <c r="W364" i="13" s="1"/>
  <c r="U403" i="13"/>
  <c r="W403" i="13" s="1"/>
  <c r="V403" i="13"/>
  <c r="AE403" i="13" s="1"/>
  <c r="V225" i="13"/>
  <c r="AE225" i="13" s="1"/>
  <c r="U225" i="13"/>
  <c r="W225" i="13" s="1"/>
  <c r="AF225" i="13" s="1"/>
  <c r="U70" i="13"/>
  <c r="W70" i="13" s="1"/>
  <c r="AF70" i="13" s="1"/>
  <c r="U477" i="13"/>
  <c r="W477" i="13" s="1"/>
  <c r="V489" i="13"/>
  <c r="AE489" i="13" s="1"/>
  <c r="V509" i="13"/>
  <c r="AE509" i="13" s="1"/>
  <c r="V622" i="13"/>
  <c r="AE622" i="13" s="1"/>
  <c r="V649" i="13"/>
  <c r="AE649" i="13" s="1"/>
  <c r="U649" i="13"/>
  <c r="W649" i="13" s="1"/>
  <c r="AF649" i="13" s="1"/>
  <c r="AF779" i="13"/>
  <c r="U806" i="13"/>
  <c r="W806" i="13" s="1"/>
  <c r="AF806" i="13" s="1"/>
  <c r="V806" i="13"/>
  <c r="AE806" i="13" s="1"/>
  <c r="U367" i="13"/>
  <c r="W367" i="13" s="1"/>
  <c r="V367" i="13"/>
  <c r="AE367" i="13" s="1"/>
  <c r="U419" i="13"/>
  <c r="W419" i="13" s="1"/>
  <c r="AF419" i="13" s="1"/>
  <c r="V419" i="13"/>
  <c r="AE419" i="13" s="1"/>
  <c r="U434" i="13"/>
  <c r="W434" i="13" s="1"/>
  <c r="AF434" i="13" s="1"/>
  <c r="V434" i="13"/>
  <c r="AE434" i="13" s="1"/>
  <c r="V449" i="13"/>
  <c r="AE449" i="13" s="1"/>
  <c r="U449" i="13"/>
  <c r="W449" i="13" s="1"/>
  <c r="V95" i="13"/>
  <c r="AE95" i="13" s="1"/>
  <c r="U95" i="13"/>
  <c r="W95" i="13" s="1"/>
  <c r="U150" i="13"/>
  <c r="W150" i="13" s="1"/>
  <c r="V150" i="13"/>
  <c r="AE150" i="13" s="1"/>
  <c r="U49" i="13"/>
  <c r="W49" i="13" s="1"/>
  <c r="AF49" i="13" s="1"/>
  <c r="U532" i="13"/>
  <c r="W532" i="13" s="1"/>
  <c r="AF532" i="13" s="1"/>
  <c r="U541" i="13"/>
  <c r="W541" i="13" s="1"/>
  <c r="AF541" i="13" s="1"/>
  <c r="V659" i="13"/>
  <c r="AE659" i="13" s="1"/>
  <c r="U659" i="13"/>
  <c r="W659" i="13" s="1"/>
  <c r="V265" i="13"/>
  <c r="AE265" i="13" s="1"/>
  <c r="U265" i="13"/>
  <c r="W265" i="13" s="1"/>
  <c r="AF265" i="13" s="1"/>
  <c r="V302" i="13"/>
  <c r="AE302" i="13" s="1"/>
  <c r="U302" i="13"/>
  <c r="W302" i="13" s="1"/>
  <c r="AF302" i="13" s="1"/>
  <c r="U319" i="13"/>
  <c r="W319" i="13" s="1"/>
  <c r="V319" i="13"/>
  <c r="AE319" i="13" s="1"/>
  <c r="V340" i="13"/>
  <c r="AE340" i="13" s="1"/>
  <c r="U340" i="13"/>
  <c r="W340" i="13" s="1"/>
  <c r="AF340" i="13" s="1"/>
  <c r="V395" i="13"/>
  <c r="AE395" i="13" s="1"/>
  <c r="U395" i="13"/>
  <c r="W395" i="13" s="1"/>
  <c r="AF395" i="13" s="1"/>
  <c r="V416" i="13"/>
  <c r="AE416" i="13" s="1"/>
  <c r="U416" i="13"/>
  <c r="W416" i="13" s="1"/>
  <c r="AF416" i="13" s="1"/>
  <c r="V79" i="13"/>
  <c r="AE79" i="13" s="1"/>
  <c r="U79" i="13"/>
  <c r="W79" i="13" s="1"/>
  <c r="V136" i="13"/>
  <c r="AE136" i="13" s="1"/>
  <c r="U136" i="13"/>
  <c r="W136" i="13" s="1"/>
  <c r="AF136" i="13" s="1"/>
  <c r="U98" i="13"/>
  <c r="W98" i="13" s="1"/>
  <c r="AF98" i="13" s="1"/>
  <c r="U108" i="13"/>
  <c r="W108" i="13" s="1"/>
  <c r="V149" i="13"/>
  <c r="AE149" i="13" s="1"/>
  <c r="U165" i="13"/>
  <c r="W165" i="13" s="1"/>
  <c r="AF165" i="13" s="1"/>
  <c r="U170" i="13"/>
  <c r="W170" i="13" s="1"/>
  <c r="V188" i="13"/>
  <c r="AE188" i="13" s="1"/>
  <c r="V213" i="13"/>
  <c r="AE213" i="13" s="1"/>
  <c r="U676" i="13"/>
  <c r="W676" i="13" s="1"/>
  <c r="U699" i="13"/>
  <c r="W699" i="13" s="1"/>
  <c r="U729" i="13"/>
  <c r="W729" i="13" s="1"/>
  <c r="AF729" i="13" s="1"/>
  <c r="V764" i="13"/>
  <c r="AE764" i="13" s="1"/>
  <c r="U827" i="13"/>
  <c r="W827" i="13" s="1"/>
  <c r="AF827" i="13" s="1"/>
  <c r="V260" i="13"/>
  <c r="AE260" i="13" s="1"/>
  <c r="V275" i="13"/>
  <c r="AE275" i="13" s="1"/>
  <c r="U286" i="13"/>
  <c r="W286" i="13" s="1"/>
  <c r="V331" i="13"/>
  <c r="AE331" i="13" s="1"/>
  <c r="V355" i="13"/>
  <c r="AE355" i="13" s="1"/>
  <c r="V371" i="13"/>
  <c r="AE371" i="13" s="1"/>
  <c r="U413" i="13"/>
  <c r="W413" i="13" s="1"/>
  <c r="AF413" i="13" s="1"/>
  <c r="U452" i="13"/>
  <c r="W452" i="13" s="1"/>
  <c r="AF452" i="13" s="1"/>
  <c r="U459" i="13"/>
  <c r="W459" i="13" s="1"/>
  <c r="U91" i="13"/>
  <c r="W91" i="13" s="1"/>
  <c r="V97" i="13"/>
  <c r="AE97" i="13" s="1"/>
  <c r="V122" i="13"/>
  <c r="AE122" i="13" s="1"/>
  <c r="V219" i="13"/>
  <c r="AE219" i="13" s="1"/>
  <c r="V696" i="13"/>
  <c r="AE696" i="13" s="1"/>
  <c r="U785" i="13"/>
  <c r="W785" i="13" s="1"/>
  <c r="AF785" i="13" s="1"/>
  <c r="V272" i="13"/>
  <c r="AE272" i="13" s="1"/>
  <c r="U313" i="13"/>
  <c r="W313" i="13" s="1"/>
  <c r="U392" i="13"/>
  <c r="W392" i="13" s="1"/>
  <c r="AF392" i="13" s="1"/>
  <c r="U433" i="13"/>
  <c r="W433" i="13" s="1"/>
  <c r="AF433" i="13" s="1"/>
  <c r="V438" i="13"/>
  <c r="AE438" i="13" s="1"/>
  <c r="V119" i="13"/>
  <c r="AE119" i="13" s="1"/>
  <c r="U137" i="13"/>
  <c r="W137" i="13" s="1"/>
  <c r="AF137" i="13" s="1"/>
  <c r="V151" i="13"/>
  <c r="AE151" i="13" s="1"/>
  <c r="AF325" i="13"/>
  <c r="AF574" i="13"/>
  <c r="AF546" i="13"/>
  <c r="AF600" i="13"/>
  <c r="V809" i="13"/>
  <c r="AE809" i="13" s="1"/>
  <c r="U809" i="13"/>
  <c r="W809" i="13" s="1"/>
  <c r="AF809" i="13" s="1"/>
  <c r="U343" i="13"/>
  <c r="W343" i="13" s="1"/>
  <c r="V343" i="13"/>
  <c r="AE343" i="13" s="1"/>
  <c r="U251" i="13"/>
  <c r="W251" i="13" s="1"/>
  <c r="AF251" i="13" s="1"/>
  <c r="U30" i="13"/>
  <c r="W30" i="13" s="1"/>
  <c r="U33" i="13"/>
  <c r="W33" i="13" s="1"/>
  <c r="AF33" i="13" s="1"/>
  <c r="U39" i="13"/>
  <c r="W39" i="13" s="1"/>
  <c r="AF39" i="13" s="1"/>
  <c r="U62" i="13"/>
  <c r="W62" i="13" s="1"/>
  <c r="AF62" i="13" s="1"/>
  <c r="U478" i="13"/>
  <c r="W478" i="13" s="1"/>
  <c r="U515" i="13"/>
  <c r="W515" i="13" s="1"/>
  <c r="U521" i="13"/>
  <c r="W521" i="13" s="1"/>
  <c r="V536" i="13"/>
  <c r="AE536" i="13" s="1"/>
  <c r="U545" i="13"/>
  <c r="W545" i="13" s="1"/>
  <c r="AF545" i="13" s="1"/>
  <c r="V546" i="13"/>
  <c r="AE546" i="13" s="1"/>
  <c r="U547" i="13"/>
  <c r="W547" i="13" s="1"/>
  <c r="U559" i="13"/>
  <c r="W559" i="13" s="1"/>
  <c r="AF559" i="13" s="1"/>
  <c r="U565" i="13"/>
  <c r="W565" i="13" s="1"/>
  <c r="AF565" i="13" s="1"/>
  <c r="U577" i="13"/>
  <c r="W577" i="13" s="1"/>
  <c r="AF577" i="13" s="1"/>
  <c r="V589" i="13"/>
  <c r="AE589" i="13" s="1"/>
  <c r="U589" i="13"/>
  <c r="W589" i="13" s="1"/>
  <c r="AF589" i="13" s="1"/>
  <c r="U613" i="13"/>
  <c r="W613" i="13" s="1"/>
  <c r="V618" i="13"/>
  <c r="AE618" i="13" s="1"/>
  <c r="U631" i="13"/>
  <c r="W631" i="13" s="1"/>
  <c r="V665" i="13"/>
  <c r="AE665" i="13" s="1"/>
  <c r="U665" i="13"/>
  <c r="W665" i="13" s="1"/>
  <c r="U712" i="13"/>
  <c r="W712" i="13" s="1"/>
  <c r="V712" i="13"/>
  <c r="AE712" i="13" s="1"/>
  <c r="V723" i="13"/>
  <c r="AE723" i="13" s="1"/>
  <c r="U723" i="13"/>
  <c r="W723" i="13" s="1"/>
  <c r="U756" i="13"/>
  <c r="W756" i="13" s="1"/>
  <c r="AF756" i="13" s="1"/>
  <c r="V756" i="13"/>
  <c r="AE756" i="13" s="1"/>
  <c r="U804" i="13"/>
  <c r="W804" i="13" s="1"/>
  <c r="AF804" i="13" s="1"/>
  <c r="V804" i="13"/>
  <c r="AE804" i="13" s="1"/>
  <c r="AF824" i="13"/>
  <c r="AF863" i="13"/>
  <c r="V262" i="13"/>
  <c r="AE262" i="13" s="1"/>
  <c r="U262" i="13"/>
  <c r="W262" i="13" s="1"/>
  <c r="V294" i="13"/>
  <c r="AE294" i="13" s="1"/>
  <c r="U294" i="13"/>
  <c r="W294" i="13" s="1"/>
  <c r="U299" i="13"/>
  <c r="W299" i="13" s="1"/>
  <c r="V299" i="13"/>
  <c r="AE299" i="13" s="1"/>
  <c r="V360" i="13"/>
  <c r="AE360" i="13" s="1"/>
  <c r="U360" i="13"/>
  <c r="W360" i="13" s="1"/>
  <c r="AF360" i="13" s="1"/>
  <c r="V92" i="13"/>
  <c r="AE92" i="13" s="1"/>
  <c r="U92" i="13"/>
  <c r="W92" i="13" s="1"/>
  <c r="AF703" i="13"/>
  <c r="U243" i="13"/>
  <c r="W243" i="13" s="1"/>
  <c r="V579" i="13"/>
  <c r="AE579" i="13" s="1"/>
  <c r="U579" i="13"/>
  <c r="W579" i="13" s="1"/>
  <c r="V738" i="13"/>
  <c r="AE738" i="13" s="1"/>
  <c r="U738" i="13"/>
  <c r="W738" i="13" s="1"/>
  <c r="U837" i="13"/>
  <c r="W837" i="13" s="1"/>
  <c r="AF837" i="13" s="1"/>
  <c r="V837" i="13"/>
  <c r="AE837" i="13" s="1"/>
  <c r="U846" i="13"/>
  <c r="W846" i="13" s="1"/>
  <c r="V846" i="13"/>
  <c r="AE846" i="13" s="1"/>
  <c r="AF362" i="13"/>
  <c r="V368" i="13"/>
  <c r="AE368" i="13" s="1"/>
  <c r="U368" i="13"/>
  <c r="W368" i="13" s="1"/>
  <c r="AF374" i="13"/>
  <c r="V658" i="13"/>
  <c r="AE658" i="13" s="1"/>
  <c r="U658" i="13"/>
  <c r="W658" i="13" s="1"/>
  <c r="V842" i="13"/>
  <c r="AE842" i="13" s="1"/>
  <c r="U842" i="13"/>
  <c r="W842" i="13" s="1"/>
  <c r="V103" i="13"/>
  <c r="AE103" i="13" s="1"/>
  <c r="U103" i="13"/>
  <c r="W103" i="13" s="1"/>
  <c r="U235" i="13"/>
  <c r="W235" i="13" s="1"/>
  <c r="AF235" i="13" s="1"/>
  <c r="V240" i="13"/>
  <c r="AE240" i="13" s="1"/>
  <c r="U13" i="13"/>
  <c r="W13" i="13" s="1"/>
  <c r="V32" i="13"/>
  <c r="AE32" i="13" s="1"/>
  <c r="V68" i="13"/>
  <c r="AE68" i="13" s="1"/>
  <c r="U467" i="13"/>
  <c r="W467" i="13" s="1"/>
  <c r="AF467" i="13" s="1"/>
  <c r="U497" i="13"/>
  <c r="W497" i="13" s="1"/>
  <c r="V498" i="13"/>
  <c r="AE498" i="13" s="1"/>
  <c r="V520" i="13"/>
  <c r="AE520" i="13" s="1"/>
  <c r="U526" i="13"/>
  <c r="W526" i="13" s="1"/>
  <c r="V528" i="13"/>
  <c r="AE528" i="13" s="1"/>
  <c r="U535" i="13"/>
  <c r="W535" i="13" s="1"/>
  <c r="AF535" i="13" s="1"/>
  <c r="V612" i="13"/>
  <c r="AE612" i="13" s="1"/>
  <c r="V617" i="13"/>
  <c r="AE617" i="13" s="1"/>
  <c r="U640" i="13"/>
  <c r="W640" i="13" s="1"/>
  <c r="V640" i="13"/>
  <c r="AE640" i="13" s="1"/>
  <c r="AF720" i="13"/>
  <c r="AF764" i="13"/>
  <c r="U843" i="13"/>
  <c r="W843" i="13" s="1"/>
  <c r="V843" i="13"/>
  <c r="AE843" i="13" s="1"/>
  <c r="V132" i="13"/>
  <c r="AE132" i="13" s="1"/>
  <c r="U132" i="13"/>
  <c r="W132" i="13" s="1"/>
  <c r="U160" i="13"/>
  <c r="W160" i="13" s="1"/>
  <c r="V160" i="13"/>
  <c r="AE160" i="13" s="1"/>
  <c r="AF818" i="13"/>
  <c r="V228" i="13"/>
  <c r="AE228" i="13" s="1"/>
  <c r="U26" i="13"/>
  <c r="W26" i="13" s="1"/>
  <c r="V466" i="13"/>
  <c r="AE466" i="13" s="1"/>
  <c r="U476" i="13"/>
  <c r="W476" i="13" s="1"/>
  <c r="AF476" i="13" s="1"/>
  <c r="U525" i="13"/>
  <c r="W525" i="13" s="1"/>
  <c r="U533" i="13"/>
  <c r="W533" i="13" s="1"/>
  <c r="V534" i="13"/>
  <c r="AE534" i="13" s="1"/>
  <c r="V567" i="13"/>
  <c r="AE567" i="13" s="1"/>
  <c r="U567" i="13"/>
  <c r="W567" i="13" s="1"/>
  <c r="AF567" i="13" s="1"/>
  <c r="V588" i="13"/>
  <c r="AE588" i="13" s="1"/>
  <c r="U624" i="13"/>
  <c r="W624" i="13" s="1"/>
  <c r="V624" i="13"/>
  <c r="AE624" i="13" s="1"/>
  <c r="V635" i="13"/>
  <c r="AE635" i="13" s="1"/>
  <c r="U635" i="13"/>
  <c r="W635" i="13" s="1"/>
  <c r="V711" i="13"/>
  <c r="AE711" i="13" s="1"/>
  <c r="U711" i="13"/>
  <c r="W711" i="13" s="1"/>
  <c r="V755" i="13"/>
  <c r="AE755" i="13" s="1"/>
  <c r="U755" i="13"/>
  <c r="W755" i="13" s="1"/>
  <c r="V821" i="13"/>
  <c r="AE821" i="13" s="1"/>
  <c r="U821" i="13"/>
  <c r="W821" i="13" s="1"/>
  <c r="AF821" i="13" s="1"/>
  <c r="U263" i="13"/>
  <c r="W263" i="13" s="1"/>
  <c r="V263" i="13"/>
  <c r="AE263" i="13" s="1"/>
  <c r="V278" i="13"/>
  <c r="AE278" i="13" s="1"/>
  <c r="U278" i="13"/>
  <c r="W278" i="13" s="1"/>
  <c r="AF278" i="13" s="1"/>
  <c r="V293" i="13"/>
  <c r="AE293" i="13" s="1"/>
  <c r="U293" i="13"/>
  <c r="W293" i="13" s="1"/>
  <c r="AF332" i="13"/>
  <c r="V344" i="13"/>
  <c r="AE344" i="13" s="1"/>
  <c r="U344" i="13"/>
  <c r="W344" i="13" s="1"/>
  <c r="V356" i="13"/>
  <c r="AE356" i="13" s="1"/>
  <c r="U356" i="13"/>
  <c r="W356" i="13" s="1"/>
  <c r="AF356" i="13" s="1"/>
  <c r="V458" i="13"/>
  <c r="AE458" i="13" s="1"/>
  <c r="U458" i="13"/>
  <c r="W458" i="13" s="1"/>
  <c r="AF97" i="13"/>
  <c r="V336" i="13"/>
  <c r="AE336" i="13" s="1"/>
  <c r="U336" i="13"/>
  <c r="W336" i="13" s="1"/>
  <c r="U239" i="13"/>
  <c r="W239" i="13" s="1"/>
  <c r="U247" i="13"/>
  <c r="W247" i="13" s="1"/>
  <c r="AF247" i="13" s="1"/>
  <c r="V31" i="13"/>
  <c r="AE31" i="13" s="1"/>
  <c r="U54" i="13"/>
  <c r="W54" i="13" s="1"/>
  <c r="AF54" i="13" s="1"/>
  <c r="U64" i="13"/>
  <c r="W64" i="13" s="1"/>
  <c r="AF64" i="13" s="1"/>
  <c r="U67" i="13"/>
  <c r="W67" i="13" s="1"/>
  <c r="U72" i="13"/>
  <c r="W72" i="13" s="1"/>
  <c r="AF72" i="13" s="1"/>
  <c r="V75" i="13"/>
  <c r="AE75" i="13" s="1"/>
  <c r="U488" i="13"/>
  <c r="W488" i="13" s="1"/>
  <c r="V510" i="13"/>
  <c r="AE510" i="13" s="1"/>
  <c r="V600" i="13"/>
  <c r="AE600" i="13" s="1"/>
  <c r="V677" i="13"/>
  <c r="AE677" i="13" s="1"/>
  <c r="U677" i="13"/>
  <c r="W677" i="13" s="1"/>
  <c r="U740" i="13"/>
  <c r="W740" i="13" s="1"/>
  <c r="V740" i="13"/>
  <c r="AE740" i="13" s="1"/>
  <c r="V776" i="13"/>
  <c r="AE776" i="13" s="1"/>
  <c r="U776" i="13"/>
  <c r="W776" i="13" s="1"/>
  <c r="AF776" i="13" s="1"/>
  <c r="V836" i="13"/>
  <c r="AE836" i="13" s="1"/>
  <c r="U836" i="13"/>
  <c r="W836" i="13" s="1"/>
  <c r="V386" i="13"/>
  <c r="AE386" i="13" s="1"/>
  <c r="U386" i="13"/>
  <c r="W386" i="13" s="1"/>
  <c r="V183" i="13"/>
  <c r="AE183" i="13" s="1"/>
  <c r="U183" i="13"/>
  <c r="W183" i="13" s="1"/>
  <c r="V78" i="13"/>
  <c r="AE78" i="13" s="1"/>
  <c r="U78" i="13"/>
  <c r="W78" i="13" s="1"/>
  <c r="U121" i="13"/>
  <c r="W121" i="13" s="1"/>
  <c r="V121" i="13"/>
  <c r="AE121" i="13" s="1"/>
  <c r="U166" i="13"/>
  <c r="W166" i="13" s="1"/>
  <c r="V166" i="13"/>
  <c r="AE166" i="13" s="1"/>
  <c r="AF192" i="13"/>
  <c r="U217" i="13"/>
  <c r="W217" i="13" s="1"/>
  <c r="V217" i="13"/>
  <c r="AE217" i="13" s="1"/>
  <c r="U679" i="13"/>
  <c r="W679" i="13" s="1"/>
  <c r="AF679" i="13" s="1"/>
  <c r="V685" i="13"/>
  <c r="AE685" i="13" s="1"/>
  <c r="U691" i="13"/>
  <c r="W691" i="13" s="1"/>
  <c r="U702" i="13"/>
  <c r="W702" i="13" s="1"/>
  <c r="AF702" i="13" s="1"/>
  <c r="V795" i="13"/>
  <c r="AE795" i="13" s="1"/>
  <c r="U800" i="13"/>
  <c r="W800" i="13" s="1"/>
  <c r="AF800" i="13" s="1"/>
  <c r="U839" i="13"/>
  <c r="W839" i="13" s="1"/>
  <c r="AF839" i="13" s="1"/>
  <c r="U854" i="13"/>
  <c r="W854" i="13" s="1"/>
  <c r="U330" i="13"/>
  <c r="W330" i="13" s="1"/>
  <c r="U354" i="13"/>
  <c r="W354" i="13" s="1"/>
  <c r="V378" i="13"/>
  <c r="AE378" i="13" s="1"/>
  <c r="U398" i="13"/>
  <c r="W398" i="13" s="1"/>
  <c r="U407" i="13"/>
  <c r="W407" i="13" s="1"/>
  <c r="V408" i="13"/>
  <c r="AE408" i="13" s="1"/>
  <c r="U422" i="13"/>
  <c r="W422" i="13" s="1"/>
  <c r="AF422" i="13" s="1"/>
  <c r="V426" i="13"/>
  <c r="AE426" i="13" s="1"/>
  <c r="U445" i="13"/>
  <c r="W445" i="13" s="1"/>
  <c r="V456" i="13"/>
  <c r="AE456" i="13" s="1"/>
  <c r="U457" i="13"/>
  <c r="W457" i="13" s="1"/>
  <c r="U461" i="13"/>
  <c r="W461" i="13" s="1"/>
  <c r="AF461" i="13" s="1"/>
  <c r="V461" i="13"/>
  <c r="AE461" i="13" s="1"/>
  <c r="V667" i="13"/>
  <c r="AE667" i="13" s="1"/>
  <c r="U670" i="13"/>
  <c r="W670" i="13" s="1"/>
  <c r="U682" i="13"/>
  <c r="W682" i="13" s="1"/>
  <c r="U683" i="13"/>
  <c r="W683" i="13" s="1"/>
  <c r="V684" i="13"/>
  <c r="AE684" i="13" s="1"/>
  <c r="V690" i="13"/>
  <c r="AE690" i="13" s="1"/>
  <c r="U746" i="13"/>
  <c r="W746" i="13" s="1"/>
  <c r="V747" i="13"/>
  <c r="AE747" i="13" s="1"/>
  <c r="V768" i="13"/>
  <c r="AE768" i="13" s="1"/>
  <c r="U782" i="13"/>
  <c r="W782" i="13" s="1"/>
  <c r="V783" i="13"/>
  <c r="AE783" i="13" s="1"/>
  <c r="V786" i="13"/>
  <c r="AE786" i="13" s="1"/>
  <c r="U791" i="13"/>
  <c r="W791" i="13" s="1"/>
  <c r="V792" i="13"/>
  <c r="AE792" i="13" s="1"/>
  <c r="V816" i="13"/>
  <c r="AE816" i="13" s="1"/>
  <c r="V831" i="13"/>
  <c r="AE831" i="13" s="1"/>
  <c r="U860" i="13"/>
  <c r="W860" i="13" s="1"/>
  <c r="V861" i="13"/>
  <c r="AE861" i="13" s="1"/>
  <c r="V257" i="13"/>
  <c r="AE257" i="13" s="1"/>
  <c r="U289" i="13"/>
  <c r="W289" i="13" s="1"/>
  <c r="V291" i="13"/>
  <c r="AE291" i="13" s="1"/>
  <c r="V301" i="13"/>
  <c r="AE301" i="13" s="1"/>
  <c r="U314" i="13"/>
  <c r="W314" i="13" s="1"/>
  <c r="U318" i="13"/>
  <c r="W318" i="13" s="1"/>
  <c r="V323" i="13"/>
  <c r="AE323" i="13" s="1"/>
  <c r="V329" i="13"/>
  <c r="AE329" i="13" s="1"/>
  <c r="U80" i="13"/>
  <c r="W80" i="13" s="1"/>
  <c r="V81" i="13"/>
  <c r="AE81" i="13" s="1"/>
  <c r="U88" i="13"/>
  <c r="W88" i="13" s="1"/>
  <c r="AF88" i="13" s="1"/>
  <c r="U120" i="13"/>
  <c r="W120" i="13" s="1"/>
  <c r="V120" i="13"/>
  <c r="AE120" i="13" s="1"/>
  <c r="V647" i="13"/>
  <c r="AE647" i="13" s="1"/>
  <c r="V660" i="13"/>
  <c r="AE660" i="13" s="1"/>
  <c r="U681" i="13"/>
  <c r="W681" i="13" s="1"/>
  <c r="V721" i="13"/>
  <c r="AE721" i="13" s="1"/>
  <c r="U732" i="13"/>
  <c r="W732" i="13" s="1"/>
  <c r="AF732" i="13" s="1"/>
  <c r="V765" i="13"/>
  <c r="AE765" i="13" s="1"/>
  <c r="V779" i="13"/>
  <c r="AE779" i="13" s="1"/>
  <c r="V788" i="13"/>
  <c r="AE788" i="13" s="1"/>
  <c r="V797" i="13"/>
  <c r="AE797" i="13" s="1"/>
  <c r="V819" i="13"/>
  <c r="AE819" i="13" s="1"/>
  <c r="V825" i="13"/>
  <c r="AE825" i="13" s="1"/>
  <c r="V828" i="13"/>
  <c r="AE828" i="13" s="1"/>
  <c r="U857" i="13"/>
  <c r="W857" i="13" s="1"/>
  <c r="AF857" i="13" s="1"/>
  <c r="V864" i="13"/>
  <c r="AE864" i="13" s="1"/>
  <c r="V353" i="13"/>
  <c r="AE353" i="13" s="1"/>
  <c r="V373" i="13"/>
  <c r="AE373" i="13" s="1"/>
  <c r="V377" i="13"/>
  <c r="AE377" i="13" s="1"/>
  <c r="U382" i="13"/>
  <c r="W382" i="13" s="1"/>
  <c r="U397" i="13"/>
  <c r="W397" i="13" s="1"/>
  <c r="U404" i="13"/>
  <c r="W404" i="13" s="1"/>
  <c r="V431" i="13"/>
  <c r="AE431" i="13" s="1"/>
  <c r="U451" i="13"/>
  <c r="W451" i="13" s="1"/>
  <c r="AF451" i="13" s="1"/>
  <c r="U455" i="13"/>
  <c r="W455" i="13" s="1"/>
  <c r="V460" i="13"/>
  <c r="AE460" i="13" s="1"/>
  <c r="U77" i="13"/>
  <c r="W77" i="13" s="1"/>
  <c r="AF77" i="13" s="1"/>
  <c r="U152" i="13"/>
  <c r="W152" i="13" s="1"/>
  <c r="U201" i="13"/>
  <c r="W201" i="13" s="1"/>
  <c r="AF201" i="13" s="1"/>
  <c r="V177" i="13"/>
  <c r="AE177" i="13" s="1"/>
  <c r="U193" i="13"/>
  <c r="W193" i="13" s="1"/>
  <c r="AF193" i="13" s="1"/>
  <c r="AF57" i="13"/>
  <c r="AF44" i="13"/>
  <c r="AF32" i="13"/>
  <c r="V569" i="13"/>
  <c r="AE569" i="13" s="1"/>
  <c r="U569" i="13"/>
  <c r="W569" i="13" s="1"/>
  <c r="AF797" i="13"/>
  <c r="V324" i="13"/>
  <c r="AE324" i="13" s="1"/>
  <c r="U324" i="13"/>
  <c r="W324" i="13" s="1"/>
  <c r="AF410" i="13"/>
  <c r="V443" i="13"/>
  <c r="AE443" i="13" s="1"/>
  <c r="U443" i="13"/>
  <c r="W443" i="13" s="1"/>
  <c r="V234" i="13"/>
  <c r="AE234" i="13" s="1"/>
  <c r="V246" i="13"/>
  <c r="AE246" i="13" s="1"/>
  <c r="U7" i="13"/>
  <c r="W7" i="13" s="1"/>
  <c r="U27" i="13"/>
  <c r="W27" i="13" s="1"/>
  <c r="AF45" i="13"/>
  <c r="V56" i="13"/>
  <c r="AE56" i="13" s="1"/>
  <c r="V655" i="13"/>
  <c r="AE655" i="13" s="1"/>
  <c r="U655" i="13"/>
  <c r="W655" i="13" s="1"/>
  <c r="U675" i="13"/>
  <c r="W675" i="13" s="1"/>
  <c r="AF675" i="13" s="1"/>
  <c r="U689" i="13"/>
  <c r="W689" i="13" s="1"/>
  <c r="U714" i="13"/>
  <c r="W714" i="13" s="1"/>
  <c r="V750" i="13"/>
  <c r="AE750" i="13" s="1"/>
  <c r="U767" i="13"/>
  <c r="W767" i="13" s="1"/>
  <c r="U794" i="13"/>
  <c r="W794" i="13" s="1"/>
  <c r="V813" i="13"/>
  <c r="AE813" i="13" s="1"/>
  <c r="V274" i="13"/>
  <c r="AE274" i="13" s="1"/>
  <c r="U274" i="13"/>
  <c r="W274" i="13" s="1"/>
  <c r="U305" i="13"/>
  <c r="W305" i="13" s="1"/>
  <c r="V305" i="13"/>
  <c r="AE305" i="13" s="1"/>
  <c r="V221" i="13"/>
  <c r="AE221" i="13" s="1"/>
  <c r="U221" i="13"/>
  <c r="W221" i="13" s="1"/>
  <c r="AF221" i="13" s="1"/>
  <c r="V544" i="13"/>
  <c r="AE544" i="13" s="1"/>
  <c r="U544" i="13"/>
  <c r="W544" i="13" s="1"/>
  <c r="V553" i="13"/>
  <c r="AE553" i="13" s="1"/>
  <c r="U553" i="13"/>
  <c r="W553" i="13" s="1"/>
  <c r="U19" i="13"/>
  <c r="W19" i="13" s="1"/>
  <c r="V48" i="13"/>
  <c r="AE48" i="13" s="1"/>
  <c r="U48" i="13"/>
  <c r="W48" i="13" s="1"/>
  <c r="U479" i="13"/>
  <c r="W479" i="13" s="1"/>
  <c r="V495" i="13"/>
  <c r="AE495" i="13" s="1"/>
  <c r="U495" i="13"/>
  <c r="W495" i="13" s="1"/>
  <c r="AF575" i="13"/>
  <c r="V599" i="13"/>
  <c r="AE599" i="13" s="1"/>
  <c r="U599" i="13"/>
  <c r="W599" i="13" s="1"/>
  <c r="U605" i="13"/>
  <c r="W605" i="13" s="1"/>
  <c r="U611" i="13"/>
  <c r="W611" i="13" s="1"/>
  <c r="V28" i="13"/>
  <c r="AE28" i="13" s="1"/>
  <c r="U37" i="13"/>
  <c r="W37" i="13" s="1"/>
  <c r="V43" i="13"/>
  <c r="AE43" i="13" s="1"/>
  <c r="V516" i="13"/>
  <c r="AE516" i="13" s="1"/>
  <c r="AF534" i="13"/>
  <c r="V543" i="13"/>
  <c r="AE543" i="13" s="1"/>
  <c r="U543" i="13"/>
  <c r="W543" i="13" s="1"/>
  <c r="V562" i="13"/>
  <c r="AE562" i="13" s="1"/>
  <c r="U562" i="13"/>
  <c r="W562" i="13" s="1"/>
  <c r="AF562" i="13" s="1"/>
  <c r="V571" i="13"/>
  <c r="AE571" i="13" s="1"/>
  <c r="U571" i="13"/>
  <c r="W571" i="13" s="1"/>
  <c r="U604" i="13"/>
  <c r="W604" i="13" s="1"/>
  <c r="V604" i="13"/>
  <c r="AE604" i="13" s="1"/>
  <c r="U610" i="13"/>
  <c r="W610" i="13" s="1"/>
  <c r="V627" i="13"/>
  <c r="AE627" i="13" s="1"/>
  <c r="U627" i="13"/>
  <c r="W627" i="13" s="1"/>
  <c r="V661" i="13"/>
  <c r="AE661" i="13" s="1"/>
  <c r="U661" i="13"/>
  <c r="W661" i="13" s="1"/>
  <c r="V704" i="13"/>
  <c r="AE704" i="13" s="1"/>
  <c r="U704" i="13"/>
  <c r="W704" i="13" s="1"/>
  <c r="AF704" i="13" s="1"/>
  <c r="V707" i="13"/>
  <c r="AE707" i="13" s="1"/>
  <c r="U707" i="13"/>
  <c r="W707" i="13" s="1"/>
  <c r="V741" i="13"/>
  <c r="AE741" i="13" s="1"/>
  <c r="U758" i="13"/>
  <c r="W758" i="13" s="1"/>
  <c r="V401" i="13"/>
  <c r="AE401" i="13" s="1"/>
  <c r="U401" i="13"/>
  <c r="W401" i="13" s="1"/>
  <c r="V73" i="13"/>
  <c r="AE73" i="13" s="1"/>
  <c r="AF466" i="13"/>
  <c r="V530" i="13"/>
  <c r="AE530" i="13" s="1"/>
  <c r="V552" i="13"/>
  <c r="AE552" i="13" s="1"/>
  <c r="U8" i="13"/>
  <c r="W8" i="13" s="1"/>
  <c r="U18" i="13"/>
  <c r="W18" i="13" s="1"/>
  <c r="U20" i="13"/>
  <c r="W20" i="13" s="1"/>
  <c r="V55" i="13"/>
  <c r="AE55" i="13" s="1"/>
  <c r="U472" i="13"/>
  <c r="W472" i="13" s="1"/>
  <c r="V504" i="13"/>
  <c r="AE504" i="13" s="1"/>
  <c r="U233" i="13"/>
  <c r="W233" i="13" s="1"/>
  <c r="U237" i="13"/>
  <c r="W237" i="13" s="1"/>
  <c r="AF237" i="13" s="1"/>
  <c r="U241" i="13"/>
  <c r="W241" i="13" s="1"/>
  <c r="U245" i="13"/>
  <c r="W245" i="13" s="1"/>
  <c r="U249" i="13"/>
  <c r="W249" i="13" s="1"/>
  <c r="U253" i="13"/>
  <c r="W253" i="13" s="1"/>
  <c r="AF253" i="13" s="1"/>
  <c r="V9" i="13"/>
  <c r="AE9" i="13" s="1"/>
  <c r="V15" i="13"/>
  <c r="AE15" i="13" s="1"/>
  <c r="U36" i="13"/>
  <c r="W36" i="13" s="1"/>
  <c r="AF36" i="13" s="1"/>
  <c r="U38" i="13"/>
  <c r="W38" i="13" s="1"/>
  <c r="V44" i="13"/>
  <c r="AE44" i="13" s="1"/>
  <c r="U50" i="13"/>
  <c r="W50" i="13" s="1"/>
  <c r="U60" i="13"/>
  <c r="W60" i="13" s="1"/>
  <c r="V529" i="13"/>
  <c r="AE529" i="13" s="1"/>
  <c r="U529" i="13"/>
  <c r="W529" i="13" s="1"/>
  <c r="U548" i="13"/>
  <c r="W548" i="13" s="1"/>
  <c r="V548" i="13"/>
  <c r="AE548" i="13" s="1"/>
  <c r="U551" i="13"/>
  <c r="W551" i="13" s="1"/>
  <c r="U554" i="13"/>
  <c r="W554" i="13" s="1"/>
  <c r="V554" i="13"/>
  <c r="AE554" i="13" s="1"/>
  <c r="U570" i="13"/>
  <c r="W570" i="13" s="1"/>
  <c r="V570" i="13"/>
  <c r="AE570" i="13" s="1"/>
  <c r="V592" i="13"/>
  <c r="AE592" i="13" s="1"/>
  <c r="U592" i="13"/>
  <c r="W592" i="13" s="1"/>
  <c r="U637" i="13"/>
  <c r="W637" i="13" s="1"/>
  <c r="V643" i="13"/>
  <c r="AE643" i="13" s="1"/>
  <c r="U643" i="13"/>
  <c r="W643" i="13" s="1"/>
  <c r="U654" i="13"/>
  <c r="W654" i="13" s="1"/>
  <c r="AF654" i="13" s="1"/>
  <c r="V654" i="13"/>
  <c r="AE654" i="13" s="1"/>
  <c r="AF660" i="13"/>
  <c r="U671" i="13"/>
  <c r="W671" i="13" s="1"/>
  <c r="V678" i="13"/>
  <c r="AE678" i="13" s="1"/>
  <c r="U697" i="13"/>
  <c r="W697" i="13" s="1"/>
  <c r="V703" i="13"/>
  <c r="AE703" i="13" s="1"/>
  <c r="AF709" i="13"/>
  <c r="V733" i="13"/>
  <c r="AE733" i="13" s="1"/>
  <c r="U749" i="13"/>
  <c r="W749" i="13" s="1"/>
  <c r="V830" i="13"/>
  <c r="AE830" i="13" s="1"/>
  <c r="U830" i="13"/>
  <c r="W830" i="13" s="1"/>
  <c r="V256" i="13"/>
  <c r="AE256" i="13" s="1"/>
  <c r="U256" i="13"/>
  <c r="W256" i="13" s="1"/>
  <c r="AF290" i="13"/>
  <c r="V380" i="13"/>
  <c r="AE380" i="13" s="1"/>
  <c r="U380" i="13"/>
  <c r="W380" i="13" s="1"/>
  <c r="U385" i="13"/>
  <c r="W385" i="13" s="1"/>
  <c r="V147" i="13"/>
  <c r="AE147" i="13" s="1"/>
  <c r="U147" i="13"/>
  <c r="W147" i="13" s="1"/>
  <c r="V470" i="13"/>
  <c r="AE470" i="13" s="1"/>
  <c r="U470" i="13"/>
  <c r="W470" i="13" s="1"/>
  <c r="V473" i="13"/>
  <c r="AE473" i="13" s="1"/>
  <c r="U473" i="13"/>
  <c r="W473" i="13" s="1"/>
  <c r="AF530" i="13"/>
  <c r="V563" i="13"/>
  <c r="AE563" i="13" s="1"/>
  <c r="U563" i="13"/>
  <c r="W563" i="13" s="1"/>
  <c r="AF582" i="13"/>
  <c r="V621" i="13"/>
  <c r="AE621" i="13" s="1"/>
  <c r="U621" i="13"/>
  <c r="W621" i="13" s="1"/>
  <c r="AF509" i="13"/>
  <c r="V549" i="13"/>
  <c r="AE549" i="13" s="1"/>
  <c r="U549" i="13"/>
  <c r="W549" i="13" s="1"/>
  <c r="V21" i="13"/>
  <c r="AE21" i="13" s="1"/>
  <c r="U42" i="13"/>
  <c r="W42" i="13" s="1"/>
  <c r="AF42" i="13" s="1"/>
  <c r="V45" i="13"/>
  <c r="AE45" i="13" s="1"/>
  <c r="U51" i="13"/>
  <c r="W51" i="13" s="1"/>
  <c r="V51" i="13"/>
  <c r="AE51" i="13" s="1"/>
  <c r="V252" i="13"/>
  <c r="AE252" i="13" s="1"/>
  <c r="AF56" i="13"/>
  <c r="V69" i="13"/>
  <c r="AE69" i="13" s="1"/>
  <c r="U471" i="13"/>
  <c r="W471" i="13" s="1"/>
  <c r="V501" i="13"/>
  <c r="AE501" i="13" s="1"/>
  <c r="U501" i="13"/>
  <c r="W501" i="13" s="1"/>
  <c r="AF501" i="13" s="1"/>
  <c r="AF503" i="13"/>
  <c r="V513" i="13"/>
  <c r="AE513" i="13" s="1"/>
  <c r="U513" i="13"/>
  <c r="W513" i="13" s="1"/>
  <c r="AF528" i="13"/>
  <c r="U595" i="13"/>
  <c r="W595" i="13" s="1"/>
  <c r="V630" i="13"/>
  <c r="AE630" i="13" s="1"/>
  <c r="V636" i="13"/>
  <c r="AE636" i="13" s="1"/>
  <c r="AF696" i="13"/>
  <c r="V724" i="13"/>
  <c r="AE724" i="13" s="1"/>
  <c r="U284" i="13"/>
  <c r="W284" i="13" s="1"/>
  <c r="V115" i="13"/>
  <c r="AE115" i="13" s="1"/>
  <c r="U115" i="13"/>
  <c r="W115" i="13" s="1"/>
  <c r="AF115" i="13" s="1"/>
  <c r="V134" i="13"/>
  <c r="AE134" i="13" s="1"/>
  <c r="U134" i="13"/>
  <c r="W134" i="13" s="1"/>
  <c r="V653" i="13"/>
  <c r="AE653" i="13" s="1"/>
  <c r="U653" i="13"/>
  <c r="W653" i="13" s="1"/>
  <c r="V673" i="13"/>
  <c r="AE673" i="13" s="1"/>
  <c r="U673" i="13"/>
  <c r="W673" i="13" s="1"/>
  <c r="V705" i="13"/>
  <c r="AE705" i="13" s="1"/>
  <c r="U705" i="13"/>
  <c r="W705" i="13" s="1"/>
  <c r="V708" i="13"/>
  <c r="AE708" i="13" s="1"/>
  <c r="U708" i="13"/>
  <c r="W708" i="13" s="1"/>
  <c r="AF708" i="13" s="1"/>
  <c r="U12" i="13"/>
  <c r="W12" i="13" s="1"/>
  <c r="U14" i="13"/>
  <c r="W14" i="13" s="1"/>
  <c r="V34" i="13"/>
  <c r="AE34" i="13" s="1"/>
  <c r="V66" i="13"/>
  <c r="AE66" i="13" s="1"/>
  <c r="U66" i="13"/>
  <c r="W66" i="13" s="1"/>
  <c r="AF66" i="13" s="1"/>
  <c r="AF74" i="13"/>
  <c r="V507" i="13"/>
  <c r="AE507" i="13" s="1"/>
  <c r="U507" i="13"/>
  <c r="W507" i="13" s="1"/>
  <c r="V582" i="13"/>
  <c r="AE582" i="13" s="1"/>
  <c r="U652" i="13"/>
  <c r="W652" i="13" s="1"/>
  <c r="AF652" i="13" s="1"/>
  <c r="V523" i="13"/>
  <c r="AE523" i="13" s="1"/>
  <c r="U523" i="13"/>
  <c r="W523" i="13" s="1"/>
  <c r="V539" i="13"/>
  <c r="AE539" i="13" s="1"/>
  <c r="U539" i="13"/>
  <c r="W539" i="13" s="1"/>
  <c r="AF552" i="13"/>
  <c r="U572" i="13"/>
  <c r="W572" i="13" s="1"/>
  <c r="AF572" i="13" s="1"/>
  <c r="V572" i="13"/>
  <c r="AE572" i="13" s="1"/>
  <c r="AF618" i="13"/>
  <c r="AF629" i="13"/>
  <c r="U666" i="13"/>
  <c r="W666" i="13" s="1"/>
  <c r="V666" i="13"/>
  <c r="AE666" i="13" s="1"/>
  <c r="V669" i="13"/>
  <c r="AE669" i="13" s="1"/>
  <c r="U669" i="13"/>
  <c r="W669" i="13" s="1"/>
  <c r="V803" i="13"/>
  <c r="AE803" i="13" s="1"/>
  <c r="U803" i="13"/>
  <c r="W803" i="13" s="1"/>
  <c r="V848" i="13"/>
  <c r="AE848" i="13" s="1"/>
  <c r="U848" i="13"/>
  <c r="W848" i="13" s="1"/>
  <c r="U283" i="13"/>
  <c r="W283" i="13" s="1"/>
  <c r="AF283" i="13" s="1"/>
  <c r="V283" i="13"/>
  <c r="AE283" i="13" s="1"/>
  <c r="AF338" i="13"/>
  <c r="AF361" i="13"/>
  <c r="V376" i="13"/>
  <c r="AE376" i="13" s="1"/>
  <c r="U376" i="13"/>
  <c r="W376" i="13" s="1"/>
  <c r="AF177" i="13"/>
  <c r="V179" i="13"/>
  <c r="AE179" i="13" s="1"/>
  <c r="U179" i="13"/>
  <c r="W179" i="13" s="1"/>
  <c r="AF648" i="13"/>
  <c r="AF282" i="13"/>
  <c r="V350" i="13"/>
  <c r="AE350" i="13" s="1"/>
  <c r="U350" i="13"/>
  <c r="W350" i="13" s="1"/>
  <c r="U379" i="13"/>
  <c r="W379" i="13" s="1"/>
  <c r="V379" i="13"/>
  <c r="AE379" i="13" s="1"/>
  <c r="V389" i="13"/>
  <c r="AE389" i="13" s="1"/>
  <c r="U389" i="13"/>
  <c r="W389" i="13" s="1"/>
  <c r="AF440" i="13"/>
  <c r="AF104" i="13"/>
  <c r="U214" i="13"/>
  <c r="W214" i="13" s="1"/>
  <c r="V214" i="13"/>
  <c r="AE214" i="13" s="1"/>
  <c r="U465" i="13"/>
  <c r="W465" i="13" s="1"/>
  <c r="V480" i="13"/>
  <c r="AE480" i="13" s="1"/>
  <c r="U494" i="13"/>
  <c r="W494" i="13" s="1"/>
  <c r="U496" i="13"/>
  <c r="W496" i="13" s="1"/>
  <c r="U500" i="13"/>
  <c r="W500" i="13" s="1"/>
  <c r="U502" i="13"/>
  <c r="W502" i="13" s="1"/>
  <c r="U506" i="13"/>
  <c r="W506" i="13" s="1"/>
  <c r="AF506" i="13" s="1"/>
  <c r="U508" i="13"/>
  <c r="W508" i="13" s="1"/>
  <c r="U512" i="13"/>
  <c r="W512" i="13" s="1"/>
  <c r="U514" i="13"/>
  <c r="W514" i="13" s="1"/>
  <c r="V518" i="13"/>
  <c r="AE518" i="13" s="1"/>
  <c r="V538" i="13"/>
  <c r="AE538" i="13" s="1"/>
  <c r="U561" i="13"/>
  <c r="W561" i="13" s="1"/>
  <c r="V564" i="13"/>
  <c r="AE564" i="13" s="1"/>
  <c r="U583" i="13"/>
  <c r="W583" i="13" s="1"/>
  <c r="U585" i="13"/>
  <c r="W585" i="13" s="1"/>
  <c r="U593" i="13"/>
  <c r="W593" i="13" s="1"/>
  <c r="U603" i="13"/>
  <c r="W603" i="13" s="1"/>
  <c r="U609" i="13"/>
  <c r="W609" i="13" s="1"/>
  <c r="U619" i="13"/>
  <c r="W619" i="13" s="1"/>
  <c r="V642" i="13"/>
  <c r="AE642" i="13" s="1"/>
  <c r="V648" i="13"/>
  <c r="AE648" i="13" s="1"/>
  <c r="V672" i="13"/>
  <c r="AE672" i="13" s="1"/>
  <c r="U717" i="13"/>
  <c r="W717" i="13" s="1"/>
  <c r="V718" i="13"/>
  <c r="AE718" i="13" s="1"/>
  <c r="U726" i="13"/>
  <c r="W726" i="13" s="1"/>
  <c r="V727" i="13"/>
  <c r="AE727" i="13" s="1"/>
  <c r="U735" i="13"/>
  <c r="W735" i="13" s="1"/>
  <c r="V736" i="13"/>
  <c r="AE736" i="13" s="1"/>
  <c r="U743" i="13"/>
  <c r="W743" i="13" s="1"/>
  <c r="V744" i="13"/>
  <c r="AE744" i="13" s="1"/>
  <c r="U752" i="13"/>
  <c r="W752" i="13" s="1"/>
  <c r="V753" i="13"/>
  <c r="AE753" i="13" s="1"/>
  <c r="U761" i="13"/>
  <c r="W761" i="13" s="1"/>
  <c r="V762" i="13"/>
  <c r="AE762" i="13" s="1"/>
  <c r="U770" i="13"/>
  <c r="W770" i="13" s="1"/>
  <c r="U773" i="13"/>
  <c r="W773" i="13" s="1"/>
  <c r="V774" i="13"/>
  <c r="AE774" i="13" s="1"/>
  <c r="V777" i="13"/>
  <c r="AE777" i="13" s="1"/>
  <c r="U812" i="13"/>
  <c r="W812" i="13" s="1"/>
  <c r="V822" i="13"/>
  <c r="AE822" i="13" s="1"/>
  <c r="V840" i="13"/>
  <c r="AE840" i="13" s="1"/>
  <c r="V858" i="13"/>
  <c r="AE858" i="13" s="1"/>
  <c r="V266" i="13"/>
  <c r="AE266" i="13" s="1"/>
  <c r="V282" i="13"/>
  <c r="AE282" i="13" s="1"/>
  <c r="V295" i="13"/>
  <c r="AE295" i="13" s="1"/>
  <c r="U295" i="13"/>
  <c r="W295" i="13" s="1"/>
  <c r="U342" i="13"/>
  <c r="W342" i="13" s="1"/>
  <c r="U352" i="13"/>
  <c r="W352" i="13" s="1"/>
  <c r="AF352" i="13" s="1"/>
  <c r="V366" i="13"/>
  <c r="AE366" i="13" s="1"/>
  <c r="U366" i="13"/>
  <c r="W366" i="13" s="1"/>
  <c r="V102" i="13"/>
  <c r="AE102" i="13" s="1"/>
  <c r="AF151" i="13"/>
  <c r="U464" i="13"/>
  <c r="W464" i="13" s="1"/>
  <c r="V474" i="13"/>
  <c r="AE474" i="13" s="1"/>
  <c r="V491" i="13"/>
  <c r="AE491" i="13" s="1"/>
  <c r="U281" i="13"/>
  <c r="W281" i="13" s="1"/>
  <c r="V281" i="13"/>
  <c r="AE281" i="13" s="1"/>
  <c r="V307" i="13"/>
  <c r="AE307" i="13" s="1"/>
  <c r="U307" i="13"/>
  <c r="W307" i="13" s="1"/>
  <c r="V317" i="13"/>
  <c r="AE317" i="13" s="1"/>
  <c r="V326" i="13"/>
  <c r="AE326" i="13" s="1"/>
  <c r="U326" i="13"/>
  <c r="W326" i="13" s="1"/>
  <c r="V334" i="13"/>
  <c r="AE334" i="13" s="1"/>
  <c r="U334" i="13"/>
  <c r="W334" i="13" s="1"/>
  <c r="U341" i="13"/>
  <c r="W341" i="13" s="1"/>
  <c r="AF341" i="13" s="1"/>
  <c r="V341" i="13"/>
  <c r="AE341" i="13" s="1"/>
  <c r="U349" i="13"/>
  <c r="W349" i="13" s="1"/>
  <c r="V349" i="13"/>
  <c r="AE349" i="13" s="1"/>
  <c r="V101" i="13"/>
  <c r="AE101" i="13" s="1"/>
  <c r="U101" i="13"/>
  <c r="W101" i="13" s="1"/>
  <c r="AF122" i="13"/>
  <c r="V194" i="13"/>
  <c r="AE194" i="13" s="1"/>
  <c r="U194" i="13"/>
  <c r="W194" i="13" s="1"/>
  <c r="AF199" i="13"/>
  <c r="AF291" i="13"/>
  <c r="V298" i="13"/>
  <c r="AE298" i="13" s="1"/>
  <c r="U298" i="13"/>
  <c r="W298" i="13" s="1"/>
  <c r="V383" i="13"/>
  <c r="AE383" i="13" s="1"/>
  <c r="U383" i="13"/>
  <c r="W383" i="13" s="1"/>
  <c r="AF149" i="13"/>
  <c r="AF190" i="13"/>
  <c r="AF456" i="13"/>
  <c r="V110" i="13"/>
  <c r="AE110" i="13" s="1"/>
  <c r="U110" i="13"/>
  <c r="W110" i="13" s="1"/>
  <c r="U184" i="13"/>
  <c r="W184" i="13" s="1"/>
  <c r="V184" i="13"/>
  <c r="AE184" i="13" s="1"/>
  <c r="V210" i="13"/>
  <c r="AE210" i="13" s="1"/>
  <c r="U210" i="13"/>
  <c r="W210" i="13" s="1"/>
  <c r="V771" i="13"/>
  <c r="AE771" i="13" s="1"/>
  <c r="V780" i="13"/>
  <c r="AE780" i="13" s="1"/>
  <c r="V789" i="13"/>
  <c r="AE789" i="13" s="1"/>
  <c r="V798" i="13"/>
  <c r="AE798" i="13" s="1"/>
  <c r="V807" i="13"/>
  <c r="AE807" i="13" s="1"/>
  <c r="AF301" i="13"/>
  <c r="V429" i="13"/>
  <c r="AE429" i="13" s="1"/>
  <c r="U439" i="13"/>
  <c r="W439" i="13" s="1"/>
  <c r="V86" i="13"/>
  <c r="AE86" i="13" s="1"/>
  <c r="U86" i="13"/>
  <c r="W86" i="13" s="1"/>
  <c r="U100" i="13"/>
  <c r="W100" i="13" s="1"/>
  <c r="U109" i="13"/>
  <c r="W109" i="13" s="1"/>
  <c r="V144" i="13"/>
  <c r="AE144" i="13" s="1"/>
  <c r="U144" i="13"/>
  <c r="W144" i="13" s="1"/>
  <c r="V146" i="13"/>
  <c r="AE146" i="13" s="1"/>
  <c r="U146" i="13"/>
  <c r="W146" i="13" s="1"/>
  <c r="AF172" i="13"/>
  <c r="V156" i="13"/>
  <c r="AE156" i="13" s="1"/>
  <c r="U156" i="13"/>
  <c r="W156" i="13" s="1"/>
  <c r="V163" i="13"/>
  <c r="AE163" i="13" s="1"/>
  <c r="U163" i="13"/>
  <c r="W163" i="13" s="1"/>
  <c r="V171" i="13"/>
  <c r="AE171" i="13" s="1"/>
  <c r="U171" i="13"/>
  <c r="W171" i="13" s="1"/>
  <c r="U178" i="13"/>
  <c r="W178" i="13" s="1"/>
  <c r="V178" i="13"/>
  <c r="AE178" i="13" s="1"/>
  <c r="V206" i="13"/>
  <c r="AE206" i="13" s="1"/>
  <c r="U206" i="13"/>
  <c r="W206" i="13" s="1"/>
  <c r="V212" i="13"/>
  <c r="AE212" i="13" s="1"/>
  <c r="U212" i="13"/>
  <c r="W212" i="13" s="1"/>
  <c r="AF213" i="13"/>
  <c r="AF438" i="13"/>
  <c r="V90" i="13"/>
  <c r="AE90" i="13" s="1"/>
  <c r="U90" i="13"/>
  <c r="W90" i="13" s="1"/>
  <c r="V116" i="13"/>
  <c r="AE116" i="13" s="1"/>
  <c r="U116" i="13"/>
  <c r="W116" i="13" s="1"/>
  <c r="AF139" i="13"/>
  <c r="U113" i="13"/>
  <c r="W113" i="13" s="1"/>
  <c r="AF113" i="13" s="1"/>
  <c r="U127" i="13"/>
  <c r="W127" i="13" s="1"/>
  <c r="U128" i="13"/>
  <c r="W128" i="13" s="1"/>
  <c r="U130" i="13"/>
  <c r="W130" i="13" s="1"/>
  <c r="U138" i="13"/>
  <c r="W138" i="13" s="1"/>
  <c r="V139" i="13"/>
  <c r="AE139" i="13" s="1"/>
  <c r="U148" i="13"/>
  <c r="W148" i="13" s="1"/>
  <c r="U154" i="13"/>
  <c r="W154" i="13" s="1"/>
  <c r="U157" i="13"/>
  <c r="W157" i="13" s="1"/>
  <c r="U158" i="13"/>
  <c r="W158" i="13" s="1"/>
  <c r="U181" i="13"/>
  <c r="W181" i="13" s="1"/>
  <c r="U195" i="13"/>
  <c r="W195" i="13" s="1"/>
  <c r="V199" i="13"/>
  <c r="AE199" i="13" s="1"/>
  <c r="U204" i="13"/>
  <c r="W204" i="13" s="1"/>
  <c r="V205" i="13"/>
  <c r="AE205" i="13" s="1"/>
  <c r="U207" i="13"/>
  <c r="W207" i="13" s="1"/>
  <c r="U209" i="13"/>
  <c r="W209" i="13" s="1"/>
  <c r="U211" i="13"/>
  <c r="W211" i="13" s="1"/>
  <c r="U216" i="13"/>
  <c r="W216" i="13" s="1"/>
  <c r="U124" i="13"/>
  <c r="W124" i="13" s="1"/>
  <c r="U135" i="13"/>
  <c r="W135" i="13" s="1"/>
  <c r="AF135" i="13" s="1"/>
  <c r="U186" i="13"/>
  <c r="W186" i="13" s="1"/>
  <c r="AF186" i="13" s="1"/>
  <c r="V187" i="13"/>
  <c r="AE187" i="13" s="1"/>
  <c r="U191" i="13"/>
  <c r="W191" i="13" s="1"/>
  <c r="U218" i="13"/>
  <c r="W218" i="13" s="1"/>
  <c r="AF9" i="13"/>
  <c r="AF228" i="13"/>
  <c r="AF240" i="13"/>
  <c r="AF252" i="13"/>
  <c r="AF234" i="13"/>
  <c r="AF246" i="13"/>
  <c r="AF21" i="13"/>
  <c r="V71" i="13"/>
  <c r="AE71" i="13" s="1"/>
  <c r="U71" i="13"/>
  <c r="W71" i="13" s="1"/>
  <c r="U542" i="13"/>
  <c r="W542" i="13" s="1"/>
  <c r="V542" i="13"/>
  <c r="AE542" i="13" s="1"/>
  <c r="V598" i="13"/>
  <c r="AE598" i="13" s="1"/>
  <c r="U598" i="13"/>
  <c r="W598" i="13" s="1"/>
  <c r="AF642" i="13"/>
  <c r="U232" i="13"/>
  <c r="W232" i="13" s="1"/>
  <c r="U238" i="13"/>
  <c r="W238" i="13" s="1"/>
  <c r="U244" i="13"/>
  <c r="W244" i="13" s="1"/>
  <c r="U250" i="13"/>
  <c r="W250" i="13" s="1"/>
  <c r="U6" i="13"/>
  <c r="W6" i="13" s="1"/>
  <c r="AF68" i="13"/>
  <c r="AF474" i="13"/>
  <c r="AF480" i="13"/>
  <c r="V487" i="13"/>
  <c r="AE487" i="13" s="1"/>
  <c r="U487" i="13"/>
  <c r="W487" i="13" s="1"/>
  <c r="U558" i="13"/>
  <c r="W558" i="13" s="1"/>
  <c r="V558" i="13"/>
  <c r="AE558" i="13" s="1"/>
  <c r="AF630" i="13"/>
  <c r="AF636" i="13"/>
  <c r="AF672" i="13"/>
  <c r="AF684" i="13"/>
  <c r="V23" i="13"/>
  <c r="AE23" i="13" s="1"/>
  <c r="U23" i="13"/>
  <c r="W23" i="13" s="1"/>
  <c r="V5" i="13"/>
  <c r="AE5" i="13" s="1"/>
  <c r="U5" i="13"/>
  <c r="W5" i="13" s="1"/>
  <c r="AF31" i="13"/>
  <c r="V41" i="13"/>
  <c r="AE41" i="13" s="1"/>
  <c r="U41" i="13"/>
  <c r="W41" i="13" s="1"/>
  <c r="V463" i="13"/>
  <c r="AE463" i="13" s="1"/>
  <c r="U463" i="13"/>
  <c r="W463" i="13" s="1"/>
  <c r="AF612" i="13"/>
  <c r="AF639" i="13"/>
  <c r="V674" i="13"/>
  <c r="AE674" i="13" s="1"/>
  <c r="U674" i="13"/>
  <c r="W674" i="13" s="1"/>
  <c r="AF690" i="13"/>
  <c r="AF300" i="13"/>
  <c r="AF43" i="13"/>
  <c r="V469" i="13"/>
  <c r="AE469" i="13" s="1"/>
  <c r="U469" i="13"/>
  <c r="W469" i="13" s="1"/>
  <c r="U524" i="13"/>
  <c r="W524" i="13" s="1"/>
  <c r="V524" i="13"/>
  <c r="AE524" i="13" s="1"/>
  <c r="U230" i="13"/>
  <c r="W230" i="13" s="1"/>
  <c r="U236" i="13"/>
  <c r="W236" i="13" s="1"/>
  <c r="U242" i="13"/>
  <c r="W242" i="13" s="1"/>
  <c r="U248" i="13"/>
  <c r="W248" i="13" s="1"/>
  <c r="U254" i="13"/>
  <c r="W254" i="13" s="1"/>
  <c r="V11" i="13"/>
  <c r="AE11" i="13" s="1"/>
  <c r="U11" i="13"/>
  <c r="W11" i="13" s="1"/>
  <c r="V35" i="13"/>
  <c r="AE35" i="13" s="1"/>
  <c r="U35" i="13"/>
  <c r="W35" i="13" s="1"/>
  <c r="V65" i="13"/>
  <c r="AE65" i="13" s="1"/>
  <c r="U65" i="13"/>
  <c r="W65" i="13" s="1"/>
  <c r="AF483" i="13"/>
  <c r="V493" i="13"/>
  <c r="AE493" i="13" s="1"/>
  <c r="U493" i="13"/>
  <c r="W493" i="13" s="1"/>
  <c r="V499" i="13"/>
  <c r="AE499" i="13" s="1"/>
  <c r="U499" i="13"/>
  <c r="W499" i="13" s="1"/>
  <c r="V505" i="13"/>
  <c r="AE505" i="13" s="1"/>
  <c r="U505" i="13"/>
  <c r="W505" i="13" s="1"/>
  <c r="V511" i="13"/>
  <c r="AE511" i="13" s="1"/>
  <c r="U511" i="13"/>
  <c r="W511" i="13" s="1"/>
  <c r="V517" i="13"/>
  <c r="AE517" i="13" s="1"/>
  <c r="U517" i="13"/>
  <c r="W517" i="13" s="1"/>
  <c r="U522" i="13"/>
  <c r="W522" i="13" s="1"/>
  <c r="V522" i="13"/>
  <c r="AE522" i="13" s="1"/>
  <c r="U540" i="13"/>
  <c r="W540" i="13" s="1"/>
  <c r="V540" i="13"/>
  <c r="AE540" i="13" s="1"/>
  <c r="AF557" i="13"/>
  <c r="AF576" i="13"/>
  <c r="V53" i="13"/>
  <c r="AE53" i="13" s="1"/>
  <c r="U53" i="13"/>
  <c r="W53" i="13" s="1"/>
  <c r="V519" i="13"/>
  <c r="AE519" i="13" s="1"/>
  <c r="U519" i="13"/>
  <c r="W519" i="13" s="1"/>
  <c r="V537" i="13"/>
  <c r="AE537" i="13" s="1"/>
  <c r="U537" i="13"/>
  <c r="W537" i="13" s="1"/>
  <c r="V586" i="13"/>
  <c r="AE586" i="13" s="1"/>
  <c r="U586" i="13"/>
  <c r="W586" i="13" s="1"/>
  <c r="AF25" i="13"/>
  <c r="V29" i="13"/>
  <c r="AE29" i="13" s="1"/>
  <c r="U29" i="13"/>
  <c r="W29" i="13" s="1"/>
  <c r="V47" i="13"/>
  <c r="AE47" i="13" s="1"/>
  <c r="U47" i="13"/>
  <c r="W47" i="13" s="1"/>
  <c r="AF55" i="13"/>
  <c r="V59" i="13"/>
  <c r="AE59" i="13" s="1"/>
  <c r="U59" i="13"/>
  <c r="W59" i="13" s="1"/>
  <c r="AF73" i="13"/>
  <c r="AF588" i="13"/>
  <c r="AF594" i="13"/>
  <c r="V17" i="13"/>
  <c r="AE17" i="13" s="1"/>
  <c r="U17" i="13"/>
  <c r="W17" i="13" s="1"/>
  <c r="U24" i="13"/>
  <c r="W24" i="13" s="1"/>
  <c r="AF34" i="13"/>
  <c r="V475" i="13"/>
  <c r="AE475" i="13" s="1"/>
  <c r="U475" i="13"/>
  <c r="W475" i="13" s="1"/>
  <c r="V481" i="13"/>
  <c r="AE481" i="13" s="1"/>
  <c r="U481" i="13"/>
  <c r="W481" i="13" s="1"/>
  <c r="AF489" i="13"/>
  <c r="AF490" i="13"/>
  <c r="AF498" i="13"/>
  <c r="AF504" i="13"/>
  <c r="AF510" i="13"/>
  <c r="AF516" i="13"/>
  <c r="AF520" i="13"/>
  <c r="AF538" i="13"/>
  <c r="V555" i="13"/>
  <c r="AE555" i="13" s="1"/>
  <c r="U555" i="13"/>
  <c r="W555" i="13" s="1"/>
  <c r="V568" i="13"/>
  <c r="AE568" i="13" s="1"/>
  <c r="U568" i="13"/>
  <c r="W568" i="13" s="1"/>
  <c r="AF606" i="13"/>
  <c r="V616" i="13"/>
  <c r="AE616" i="13" s="1"/>
  <c r="U616" i="13"/>
  <c r="W616" i="13" s="1"/>
  <c r="AF622" i="13"/>
  <c r="AF641" i="13"/>
  <c r="V663" i="13"/>
  <c r="AE663" i="13" s="1"/>
  <c r="U663" i="13"/>
  <c r="W663" i="13" s="1"/>
  <c r="AF678" i="13"/>
  <c r="U700" i="13"/>
  <c r="W700" i="13" s="1"/>
  <c r="V700" i="13"/>
  <c r="AE700" i="13" s="1"/>
  <c r="V596" i="13"/>
  <c r="AE596" i="13" s="1"/>
  <c r="U596" i="13"/>
  <c r="W596" i="13" s="1"/>
  <c r="V614" i="13"/>
  <c r="AE614" i="13" s="1"/>
  <c r="U614" i="13"/>
  <c r="W614" i="13" s="1"/>
  <c r="V668" i="13"/>
  <c r="AE668" i="13" s="1"/>
  <c r="U668" i="13"/>
  <c r="W668" i="13" s="1"/>
  <c r="AF331" i="13"/>
  <c r="V448" i="13"/>
  <c r="AE448" i="13" s="1"/>
  <c r="U448" i="13"/>
  <c r="W448" i="13" s="1"/>
  <c r="U10" i="13"/>
  <c r="W10" i="13" s="1"/>
  <c r="U16" i="13"/>
  <c r="W16" i="13" s="1"/>
  <c r="U22" i="13"/>
  <c r="W22" i="13" s="1"/>
  <c r="U40" i="13"/>
  <c r="W40" i="13" s="1"/>
  <c r="U46" i="13"/>
  <c r="W46" i="13" s="1"/>
  <c r="U52" i="13"/>
  <c r="W52" i="13" s="1"/>
  <c r="U58" i="13"/>
  <c r="W58" i="13" s="1"/>
  <c r="U76" i="13"/>
  <c r="W76" i="13" s="1"/>
  <c r="U468" i="13"/>
  <c r="W468" i="13" s="1"/>
  <c r="U486" i="13"/>
  <c r="W486" i="13" s="1"/>
  <c r="U492" i="13"/>
  <c r="W492" i="13" s="1"/>
  <c r="U556" i="13"/>
  <c r="W556" i="13" s="1"/>
  <c r="V560" i="13"/>
  <c r="AE560" i="13" s="1"/>
  <c r="U573" i="13"/>
  <c r="W573" i="13" s="1"/>
  <c r="V576" i="13"/>
  <c r="AE576" i="13" s="1"/>
  <c r="V578" i="13"/>
  <c r="AE578" i="13" s="1"/>
  <c r="U591" i="13"/>
  <c r="W591" i="13" s="1"/>
  <c r="V594" i="13"/>
  <c r="AE594" i="13" s="1"/>
  <c r="U597" i="13"/>
  <c r="W597" i="13" s="1"/>
  <c r="U615" i="13"/>
  <c r="W615" i="13" s="1"/>
  <c r="AF617" i="13"/>
  <c r="V632" i="13"/>
  <c r="AE632" i="13" s="1"/>
  <c r="U632" i="13"/>
  <c r="W632" i="13" s="1"/>
  <c r="U634" i="13"/>
  <c r="W634" i="13" s="1"/>
  <c r="V644" i="13"/>
  <c r="AE644" i="13" s="1"/>
  <c r="U644" i="13"/>
  <c r="W644" i="13" s="1"/>
  <c r="U646" i="13"/>
  <c r="W646" i="13" s="1"/>
  <c r="U657" i="13"/>
  <c r="W657" i="13" s="1"/>
  <c r="V662" i="13"/>
  <c r="AE662" i="13" s="1"/>
  <c r="U662" i="13"/>
  <c r="W662" i="13" s="1"/>
  <c r="U693" i="13"/>
  <c r="W693" i="13" s="1"/>
  <c r="V698" i="13"/>
  <c r="AE698" i="13" s="1"/>
  <c r="U698" i="13"/>
  <c r="W698" i="13" s="1"/>
  <c r="AF417" i="13"/>
  <c r="V602" i="13"/>
  <c r="AE602" i="13" s="1"/>
  <c r="U602" i="13"/>
  <c r="W602" i="13" s="1"/>
  <c r="V620" i="13"/>
  <c r="AE620" i="13" s="1"/>
  <c r="U620" i="13"/>
  <c r="W620" i="13" s="1"/>
  <c r="U633" i="13"/>
  <c r="W633" i="13" s="1"/>
  <c r="U645" i="13"/>
  <c r="W645" i="13" s="1"/>
  <c r="AF647" i="13"/>
  <c r="U651" i="13"/>
  <c r="W651" i="13" s="1"/>
  <c r="V656" i="13"/>
  <c r="AE656" i="13" s="1"/>
  <c r="U656" i="13"/>
  <c r="W656" i="13" s="1"/>
  <c r="U687" i="13"/>
  <c r="W687" i="13" s="1"/>
  <c r="V692" i="13"/>
  <c r="AE692" i="13" s="1"/>
  <c r="U692" i="13"/>
  <c r="W692" i="13" s="1"/>
  <c r="V412" i="13"/>
  <c r="AE412" i="13" s="1"/>
  <c r="U412" i="13"/>
  <c r="W412" i="13" s="1"/>
  <c r="V650" i="13"/>
  <c r="AE650" i="13" s="1"/>
  <c r="U650" i="13"/>
  <c r="W650" i="13" s="1"/>
  <c r="V686" i="13"/>
  <c r="AE686" i="13" s="1"/>
  <c r="U686" i="13"/>
  <c r="W686" i="13" s="1"/>
  <c r="V608" i="13"/>
  <c r="AE608" i="13" s="1"/>
  <c r="U608" i="13"/>
  <c r="W608" i="13" s="1"/>
  <c r="V626" i="13"/>
  <c r="AE626" i="13" s="1"/>
  <c r="U626" i="13"/>
  <c r="W626" i="13" s="1"/>
  <c r="V638" i="13"/>
  <c r="AE638" i="13" s="1"/>
  <c r="U638" i="13"/>
  <c r="W638" i="13" s="1"/>
  <c r="V680" i="13"/>
  <c r="AE680" i="13" s="1"/>
  <c r="U680" i="13"/>
  <c r="W680" i="13" s="1"/>
  <c r="AF323" i="13"/>
  <c r="AF359" i="13"/>
  <c r="AF377" i="13"/>
  <c r="AF378" i="13"/>
  <c r="V710" i="13"/>
  <c r="AE710" i="13" s="1"/>
  <c r="U710" i="13"/>
  <c r="W710" i="13" s="1"/>
  <c r="V277" i="13"/>
  <c r="AE277" i="13" s="1"/>
  <c r="U277" i="13"/>
  <c r="W277" i="13" s="1"/>
  <c r="AF337" i="13"/>
  <c r="AF355" i="13"/>
  <c r="AF373" i="13"/>
  <c r="AF393" i="13"/>
  <c r="V400" i="13"/>
  <c r="AE400" i="13" s="1"/>
  <c r="U400" i="13"/>
  <c r="W400" i="13" s="1"/>
  <c r="AF408" i="13"/>
  <c r="AF426" i="13"/>
  <c r="U279" i="13"/>
  <c r="W279" i="13" s="1"/>
  <c r="V279" i="13"/>
  <c r="AE279" i="13" s="1"/>
  <c r="AF285" i="13"/>
  <c r="AF317" i="13"/>
  <c r="AF348" i="13"/>
  <c r="AF353" i="13"/>
  <c r="AF371" i="13"/>
  <c r="AF411" i="13"/>
  <c r="AF460" i="13"/>
  <c r="U701" i="13"/>
  <c r="W701" i="13" s="1"/>
  <c r="V706" i="13"/>
  <c r="AE706" i="13" s="1"/>
  <c r="V713" i="13"/>
  <c r="AE713" i="13" s="1"/>
  <c r="U713" i="13"/>
  <c r="W713" i="13" s="1"/>
  <c r="V716" i="13"/>
  <c r="AE716" i="13" s="1"/>
  <c r="U716" i="13"/>
  <c r="W716" i="13" s="1"/>
  <c r="V719" i="13"/>
  <c r="AE719" i="13" s="1"/>
  <c r="U719" i="13"/>
  <c r="W719" i="13" s="1"/>
  <c r="V722" i="13"/>
  <c r="AE722" i="13" s="1"/>
  <c r="U722" i="13"/>
  <c r="W722" i="13" s="1"/>
  <c r="V725" i="13"/>
  <c r="AE725" i="13" s="1"/>
  <c r="U725" i="13"/>
  <c r="W725" i="13" s="1"/>
  <c r="V728" i="13"/>
  <c r="AE728" i="13" s="1"/>
  <c r="U728" i="13"/>
  <c r="W728" i="13" s="1"/>
  <c r="V731" i="13"/>
  <c r="AE731" i="13" s="1"/>
  <c r="U731" i="13"/>
  <c r="W731" i="13" s="1"/>
  <c r="V734" i="13"/>
  <c r="AE734" i="13" s="1"/>
  <c r="U734" i="13"/>
  <c r="W734" i="13" s="1"/>
  <c r="V737" i="13"/>
  <c r="AE737" i="13" s="1"/>
  <c r="U737" i="13"/>
  <c r="W737" i="13" s="1"/>
  <c r="V742" i="13"/>
  <c r="AE742" i="13" s="1"/>
  <c r="U742" i="13"/>
  <c r="W742" i="13" s="1"/>
  <c r="V745" i="13"/>
  <c r="AE745" i="13" s="1"/>
  <c r="U745" i="13"/>
  <c r="W745" i="13" s="1"/>
  <c r="V748" i="13"/>
  <c r="AE748" i="13" s="1"/>
  <c r="U748" i="13"/>
  <c r="W748" i="13" s="1"/>
  <c r="V751" i="13"/>
  <c r="AE751" i="13" s="1"/>
  <c r="U751" i="13"/>
  <c r="W751" i="13" s="1"/>
  <c r="V754" i="13"/>
  <c r="AE754" i="13" s="1"/>
  <c r="U754" i="13"/>
  <c r="W754" i="13" s="1"/>
  <c r="V757" i="13"/>
  <c r="AE757" i="13" s="1"/>
  <c r="U757" i="13"/>
  <c r="W757" i="13" s="1"/>
  <c r="V760" i="13"/>
  <c r="AE760" i="13" s="1"/>
  <c r="U760" i="13"/>
  <c r="W760" i="13" s="1"/>
  <c r="V763" i="13"/>
  <c r="AE763" i="13" s="1"/>
  <c r="U763" i="13"/>
  <c r="W763" i="13" s="1"/>
  <c r="V766" i="13"/>
  <c r="AE766" i="13" s="1"/>
  <c r="U766" i="13"/>
  <c r="W766" i="13" s="1"/>
  <c r="V769" i="13"/>
  <c r="AE769" i="13" s="1"/>
  <c r="U769" i="13"/>
  <c r="W769" i="13" s="1"/>
  <c r="V772" i="13"/>
  <c r="AE772" i="13" s="1"/>
  <c r="U772" i="13"/>
  <c r="W772" i="13" s="1"/>
  <c r="V775" i="13"/>
  <c r="AE775" i="13" s="1"/>
  <c r="U775" i="13"/>
  <c r="W775" i="13" s="1"/>
  <c r="V778" i="13"/>
  <c r="AE778" i="13" s="1"/>
  <c r="U778" i="13"/>
  <c r="W778" i="13" s="1"/>
  <c r="V781" i="13"/>
  <c r="AE781" i="13" s="1"/>
  <c r="U781" i="13"/>
  <c r="W781" i="13" s="1"/>
  <c r="V784" i="13"/>
  <c r="AE784" i="13" s="1"/>
  <c r="U784" i="13"/>
  <c r="W784" i="13" s="1"/>
  <c r="V787" i="13"/>
  <c r="AE787" i="13" s="1"/>
  <c r="U787" i="13"/>
  <c r="W787" i="13" s="1"/>
  <c r="V790" i="13"/>
  <c r="AE790" i="13" s="1"/>
  <c r="U790" i="13"/>
  <c r="W790" i="13" s="1"/>
  <c r="V793" i="13"/>
  <c r="AE793" i="13" s="1"/>
  <c r="U793" i="13"/>
  <c r="W793" i="13" s="1"/>
  <c r="V796" i="13"/>
  <c r="AE796" i="13" s="1"/>
  <c r="U796" i="13"/>
  <c r="W796" i="13" s="1"/>
  <c r="V799" i="13"/>
  <c r="AE799" i="13" s="1"/>
  <c r="U799" i="13"/>
  <c r="W799" i="13" s="1"/>
  <c r="V802" i="13"/>
  <c r="AE802" i="13" s="1"/>
  <c r="U802" i="13"/>
  <c r="W802" i="13" s="1"/>
  <c r="V805" i="13"/>
  <c r="AE805" i="13" s="1"/>
  <c r="U805" i="13"/>
  <c r="W805" i="13" s="1"/>
  <c r="V808" i="13"/>
  <c r="AE808" i="13" s="1"/>
  <c r="U808" i="13"/>
  <c r="W808" i="13" s="1"/>
  <c r="V811" i="13"/>
  <c r="AE811" i="13" s="1"/>
  <c r="U811" i="13"/>
  <c r="W811" i="13" s="1"/>
  <c r="V814" i="13"/>
  <c r="AE814" i="13" s="1"/>
  <c r="U814" i="13"/>
  <c r="W814" i="13" s="1"/>
  <c r="V817" i="13"/>
  <c r="AE817" i="13" s="1"/>
  <c r="U817" i="13"/>
  <c r="W817" i="13" s="1"/>
  <c r="V820" i="13"/>
  <c r="AE820" i="13" s="1"/>
  <c r="U820" i="13"/>
  <c r="W820" i="13" s="1"/>
  <c r="V823" i="13"/>
  <c r="AE823" i="13" s="1"/>
  <c r="U823" i="13"/>
  <c r="W823" i="13" s="1"/>
  <c r="V826" i="13"/>
  <c r="AE826" i="13" s="1"/>
  <c r="U826" i="13"/>
  <c r="W826" i="13" s="1"/>
  <c r="V829" i="13"/>
  <c r="AE829" i="13" s="1"/>
  <c r="U829" i="13"/>
  <c r="W829" i="13" s="1"/>
  <c r="V832" i="13"/>
  <c r="AE832" i="13" s="1"/>
  <c r="U832" i="13"/>
  <c r="W832" i="13" s="1"/>
  <c r="V835" i="13"/>
  <c r="AE835" i="13" s="1"/>
  <c r="U835" i="13"/>
  <c r="W835" i="13" s="1"/>
  <c r="V838" i="13"/>
  <c r="AE838" i="13" s="1"/>
  <c r="U838" i="13"/>
  <c r="W838" i="13" s="1"/>
  <c r="V841" i="13"/>
  <c r="AE841" i="13" s="1"/>
  <c r="U841" i="13"/>
  <c r="W841" i="13" s="1"/>
  <c r="V844" i="13"/>
  <c r="AE844" i="13" s="1"/>
  <c r="U844" i="13"/>
  <c r="W844" i="13" s="1"/>
  <c r="V847" i="13"/>
  <c r="AE847" i="13" s="1"/>
  <c r="U847" i="13"/>
  <c r="W847" i="13" s="1"/>
  <c r="V850" i="13"/>
  <c r="AE850" i="13" s="1"/>
  <c r="U850" i="13"/>
  <c r="W850" i="13" s="1"/>
  <c r="V853" i="13"/>
  <c r="AE853" i="13" s="1"/>
  <c r="U853" i="13"/>
  <c r="W853" i="13" s="1"/>
  <c r="V856" i="13"/>
  <c r="AE856" i="13" s="1"/>
  <c r="U856" i="13"/>
  <c r="W856" i="13" s="1"/>
  <c r="V859" i="13"/>
  <c r="AE859" i="13" s="1"/>
  <c r="U859" i="13"/>
  <c r="W859" i="13" s="1"/>
  <c r="V862" i="13"/>
  <c r="AE862" i="13" s="1"/>
  <c r="U862" i="13"/>
  <c r="W862" i="13" s="1"/>
  <c r="V255" i="13"/>
  <c r="AE255" i="13" s="1"/>
  <c r="U255" i="13"/>
  <c r="W255" i="13" s="1"/>
  <c r="V258" i="13"/>
  <c r="AE258" i="13" s="1"/>
  <c r="U258" i="13"/>
  <c r="W258" i="13" s="1"/>
  <c r="V261" i="13"/>
  <c r="AE261" i="13" s="1"/>
  <c r="U261" i="13"/>
  <c r="W261" i="13" s="1"/>
  <c r="V264" i="13"/>
  <c r="AE264" i="13" s="1"/>
  <c r="U264" i="13"/>
  <c r="W264" i="13" s="1"/>
  <c r="V267" i="13"/>
  <c r="AE267" i="13" s="1"/>
  <c r="U267" i="13"/>
  <c r="W267" i="13" s="1"/>
  <c r="V270" i="13"/>
  <c r="AE270" i="13" s="1"/>
  <c r="U270" i="13"/>
  <c r="W270" i="13" s="1"/>
  <c r="V273" i="13"/>
  <c r="AE273" i="13" s="1"/>
  <c r="U273" i="13"/>
  <c r="W273" i="13" s="1"/>
  <c r="V276" i="13"/>
  <c r="AE276" i="13" s="1"/>
  <c r="U276" i="13"/>
  <c r="W276" i="13" s="1"/>
  <c r="AF288" i="13"/>
  <c r="V311" i="13"/>
  <c r="AE311" i="13" s="1"/>
  <c r="U311" i="13"/>
  <c r="W311" i="13" s="1"/>
  <c r="V142" i="13"/>
  <c r="AE142" i="13" s="1"/>
  <c r="U142" i="13"/>
  <c r="W142" i="13" s="1"/>
  <c r="AF706" i="13"/>
  <c r="AF718" i="13"/>
  <c r="AF721" i="13"/>
  <c r="AF724" i="13"/>
  <c r="AF727" i="13"/>
  <c r="AF730" i="13"/>
  <c r="AF733" i="13"/>
  <c r="AF736" i="13"/>
  <c r="AF741" i="13"/>
  <c r="AF744" i="13"/>
  <c r="AF747" i="13"/>
  <c r="AF750" i="13"/>
  <c r="AF753" i="13"/>
  <c r="AF759" i="13"/>
  <c r="AF762" i="13"/>
  <c r="AF765" i="13"/>
  <c r="AF768" i="13"/>
  <c r="AF771" i="13"/>
  <c r="AF774" i="13"/>
  <c r="AF777" i="13"/>
  <c r="AF780" i="13"/>
  <c r="AF783" i="13"/>
  <c r="AF786" i="13"/>
  <c r="AF789" i="13"/>
  <c r="AF792" i="13"/>
  <c r="AF795" i="13"/>
  <c r="AF798" i="13"/>
  <c r="AF801" i="13"/>
  <c r="AF807" i="13"/>
  <c r="AF810" i="13"/>
  <c r="AF813" i="13"/>
  <c r="AF816" i="13"/>
  <c r="AF819" i="13"/>
  <c r="AF822" i="13"/>
  <c r="AF825" i="13"/>
  <c r="AF828" i="13"/>
  <c r="AF831" i="13"/>
  <c r="AF840" i="13"/>
  <c r="AF849" i="13"/>
  <c r="AF852" i="13"/>
  <c r="AF858" i="13"/>
  <c r="AF861" i="13"/>
  <c r="AF864" i="13"/>
  <c r="AF257" i="13"/>
  <c r="AF260" i="13"/>
  <c r="AF266" i="13"/>
  <c r="AF269" i="13"/>
  <c r="AF272" i="13"/>
  <c r="AF275" i="13"/>
  <c r="AF329" i="13"/>
  <c r="AF365" i="13"/>
  <c r="V388" i="13"/>
  <c r="AE388" i="13" s="1"/>
  <c r="U388" i="13"/>
  <c r="W388" i="13" s="1"/>
  <c r="V390" i="13"/>
  <c r="AE390" i="13" s="1"/>
  <c r="U390" i="13"/>
  <c r="W390" i="13" s="1"/>
  <c r="AF399" i="13"/>
  <c r="V406" i="13"/>
  <c r="AE406" i="13" s="1"/>
  <c r="U406" i="13"/>
  <c r="W406" i="13" s="1"/>
  <c r="U450" i="13"/>
  <c r="W450" i="13" s="1"/>
  <c r="V450" i="13"/>
  <c r="AE450" i="13" s="1"/>
  <c r="V309" i="13"/>
  <c r="AE309" i="13" s="1"/>
  <c r="U309" i="13"/>
  <c r="W309" i="13" s="1"/>
  <c r="V402" i="13"/>
  <c r="AE402" i="13" s="1"/>
  <c r="U402" i="13"/>
  <c r="W402" i="13" s="1"/>
  <c r="AF423" i="13"/>
  <c r="U432" i="13"/>
  <c r="W432" i="13" s="1"/>
  <c r="V432" i="13"/>
  <c r="AE432" i="13" s="1"/>
  <c r="V462" i="13"/>
  <c r="AE462" i="13" s="1"/>
  <c r="U462" i="13"/>
  <c r="W462" i="13" s="1"/>
  <c r="AF102" i="13"/>
  <c r="AF141" i="13"/>
  <c r="V303" i="13"/>
  <c r="AE303" i="13" s="1"/>
  <c r="U303" i="13"/>
  <c r="W303" i="13" s="1"/>
  <c r="U310" i="13"/>
  <c r="W310" i="13" s="1"/>
  <c r="V321" i="13"/>
  <c r="AE321" i="13" s="1"/>
  <c r="U321" i="13"/>
  <c r="W321" i="13" s="1"/>
  <c r="V333" i="13"/>
  <c r="AE333" i="13" s="1"/>
  <c r="U333" i="13"/>
  <c r="W333" i="13" s="1"/>
  <c r="V345" i="13"/>
  <c r="AE345" i="13" s="1"/>
  <c r="U345" i="13"/>
  <c r="W345" i="13" s="1"/>
  <c r="V357" i="13"/>
  <c r="AE357" i="13" s="1"/>
  <c r="U357" i="13"/>
  <c r="W357" i="13" s="1"/>
  <c r="V369" i="13"/>
  <c r="AE369" i="13" s="1"/>
  <c r="U369" i="13"/>
  <c r="W369" i="13" s="1"/>
  <c r="V381" i="13"/>
  <c r="AE381" i="13" s="1"/>
  <c r="U381" i="13"/>
  <c r="W381" i="13" s="1"/>
  <c r="U387" i="13"/>
  <c r="W387" i="13" s="1"/>
  <c r="V387" i="13"/>
  <c r="AE387" i="13" s="1"/>
  <c r="AF429" i="13"/>
  <c r="AF431" i="13"/>
  <c r="AF444" i="13"/>
  <c r="V447" i="13"/>
  <c r="AE447" i="13" s="1"/>
  <c r="U447" i="13"/>
  <c r="W447" i="13" s="1"/>
  <c r="V129" i="13"/>
  <c r="AE129" i="13" s="1"/>
  <c r="U129" i="13"/>
  <c r="W129" i="13" s="1"/>
  <c r="V141" i="13"/>
  <c r="AE141" i="13" s="1"/>
  <c r="V384" i="13"/>
  <c r="AE384" i="13" s="1"/>
  <c r="U384" i="13"/>
  <c r="W384" i="13" s="1"/>
  <c r="U414" i="13"/>
  <c r="W414" i="13" s="1"/>
  <c r="V414" i="13"/>
  <c r="AE414" i="13" s="1"/>
  <c r="V427" i="13"/>
  <c r="AE427" i="13" s="1"/>
  <c r="U427" i="13"/>
  <c r="W427" i="13" s="1"/>
  <c r="AF84" i="13"/>
  <c r="U280" i="13"/>
  <c r="W280" i="13" s="1"/>
  <c r="V285" i="13"/>
  <c r="AE285" i="13" s="1"/>
  <c r="V297" i="13"/>
  <c r="AE297" i="13" s="1"/>
  <c r="U297" i="13"/>
  <c r="W297" i="13" s="1"/>
  <c r="V315" i="13"/>
  <c r="AE315" i="13" s="1"/>
  <c r="U315" i="13"/>
  <c r="W315" i="13" s="1"/>
  <c r="V327" i="13"/>
  <c r="AE327" i="13" s="1"/>
  <c r="U327" i="13"/>
  <c r="W327" i="13" s="1"/>
  <c r="V339" i="13"/>
  <c r="AE339" i="13" s="1"/>
  <c r="U339" i="13"/>
  <c r="W339" i="13" s="1"/>
  <c r="V351" i="13"/>
  <c r="AE351" i="13" s="1"/>
  <c r="U351" i="13"/>
  <c r="W351" i="13" s="1"/>
  <c r="V363" i="13"/>
  <c r="AE363" i="13" s="1"/>
  <c r="U363" i="13"/>
  <c r="W363" i="13" s="1"/>
  <c r="V375" i="13"/>
  <c r="AE375" i="13" s="1"/>
  <c r="U375" i="13"/>
  <c r="W375" i="13" s="1"/>
  <c r="V393" i="13"/>
  <c r="AE393" i="13" s="1"/>
  <c r="U405" i="13"/>
  <c r="W405" i="13" s="1"/>
  <c r="V405" i="13"/>
  <c r="AE405" i="13" s="1"/>
  <c r="U409" i="13"/>
  <c r="W409" i="13" s="1"/>
  <c r="V411" i="13"/>
  <c r="AE411" i="13" s="1"/>
  <c r="U424" i="13"/>
  <c r="W424" i="13" s="1"/>
  <c r="V114" i="13"/>
  <c r="AE114" i="13" s="1"/>
  <c r="U114" i="13"/>
  <c r="W114" i="13" s="1"/>
  <c r="V435" i="13"/>
  <c r="AE435" i="13" s="1"/>
  <c r="U435" i="13"/>
  <c r="W435" i="13" s="1"/>
  <c r="V453" i="13"/>
  <c r="AE453" i="13" s="1"/>
  <c r="U453" i="13"/>
  <c r="W453" i="13" s="1"/>
  <c r="V82" i="13"/>
  <c r="AE82" i="13" s="1"/>
  <c r="U82" i="13"/>
  <c r="W82" i="13" s="1"/>
  <c r="V99" i="13"/>
  <c r="AE99" i="13" s="1"/>
  <c r="U99" i="13"/>
  <c r="W99" i="13" s="1"/>
  <c r="V140" i="13"/>
  <c r="AE140" i="13" s="1"/>
  <c r="U140" i="13"/>
  <c r="W140" i="13" s="1"/>
  <c r="V155" i="13"/>
  <c r="AE155" i="13" s="1"/>
  <c r="U155" i="13"/>
  <c r="W155" i="13" s="1"/>
  <c r="V417" i="13"/>
  <c r="AE417" i="13" s="1"/>
  <c r="U430" i="13"/>
  <c r="W430" i="13" s="1"/>
  <c r="U436" i="13"/>
  <c r="W436" i="13" s="1"/>
  <c r="U454" i="13"/>
  <c r="W454" i="13" s="1"/>
  <c r="AF81" i="13"/>
  <c r="V83" i="13"/>
  <c r="AE83" i="13" s="1"/>
  <c r="U83" i="13"/>
  <c r="W83" i="13" s="1"/>
  <c r="V84" i="13"/>
  <c r="AE84" i="13" s="1"/>
  <c r="V85" i="13"/>
  <c r="AE85" i="13" s="1"/>
  <c r="U85" i="13"/>
  <c r="W85" i="13" s="1"/>
  <c r="V89" i="13"/>
  <c r="AE89" i="13" s="1"/>
  <c r="U89" i="13"/>
  <c r="W89" i="13" s="1"/>
  <c r="U96" i="13"/>
  <c r="W96" i="13" s="1"/>
  <c r="U175" i="13"/>
  <c r="W175" i="13" s="1"/>
  <c r="V441" i="13"/>
  <c r="AE441" i="13" s="1"/>
  <c r="U441" i="13"/>
  <c r="W441" i="13" s="1"/>
  <c r="V87" i="13"/>
  <c r="AE87" i="13" s="1"/>
  <c r="U87" i="13"/>
  <c r="W87" i="13" s="1"/>
  <c r="V107" i="13"/>
  <c r="AE107" i="13" s="1"/>
  <c r="U107" i="13"/>
  <c r="W107" i="13" s="1"/>
  <c r="AF119" i="13"/>
  <c r="AF126" i="13"/>
  <c r="AF143" i="13"/>
  <c r="V153" i="13"/>
  <c r="AE153" i="13" s="1"/>
  <c r="U153" i="13"/>
  <c r="W153" i="13" s="1"/>
  <c r="U169" i="13"/>
  <c r="W169" i="13" s="1"/>
  <c r="V169" i="13"/>
  <c r="AE169" i="13" s="1"/>
  <c r="U394" i="13"/>
  <c r="W394" i="13" s="1"/>
  <c r="V399" i="13"/>
  <c r="AE399" i="13" s="1"/>
  <c r="U418" i="13"/>
  <c r="W418" i="13" s="1"/>
  <c r="V423" i="13"/>
  <c r="AE423" i="13" s="1"/>
  <c r="U442" i="13"/>
  <c r="W442" i="13" s="1"/>
  <c r="U106" i="13"/>
  <c r="W106" i="13" s="1"/>
  <c r="V143" i="13"/>
  <c r="AE143" i="13" s="1"/>
  <c r="V93" i="13"/>
  <c r="AE93" i="13" s="1"/>
  <c r="U93" i="13"/>
  <c r="W93" i="13" s="1"/>
  <c r="V111" i="13"/>
  <c r="AE111" i="13" s="1"/>
  <c r="U111" i="13"/>
  <c r="W111" i="13" s="1"/>
  <c r="V123" i="13"/>
  <c r="AE123" i="13" s="1"/>
  <c r="U123" i="13"/>
  <c r="W123" i="13" s="1"/>
  <c r="AF133" i="13"/>
  <c r="AF205" i="13"/>
  <c r="AF189" i="13"/>
  <c r="V105" i="13"/>
  <c r="AE105" i="13" s="1"/>
  <c r="U105" i="13"/>
  <c r="W105" i="13" s="1"/>
  <c r="V117" i="13"/>
  <c r="AE117" i="13" s="1"/>
  <c r="U117" i="13"/>
  <c r="W117" i="13" s="1"/>
  <c r="AF125" i="13"/>
  <c r="V164" i="13"/>
  <c r="AE164" i="13" s="1"/>
  <c r="U164" i="13"/>
  <c r="W164" i="13" s="1"/>
  <c r="U226" i="13"/>
  <c r="W226" i="13" s="1"/>
  <c r="V226" i="13"/>
  <c r="AE226" i="13" s="1"/>
  <c r="U94" i="13"/>
  <c r="W94" i="13" s="1"/>
  <c r="U112" i="13"/>
  <c r="W112" i="13" s="1"/>
  <c r="U118" i="13"/>
  <c r="W118" i="13" s="1"/>
  <c r="U145" i="13"/>
  <c r="W145" i="13" s="1"/>
  <c r="V145" i="13"/>
  <c r="AE145" i="13" s="1"/>
  <c r="V215" i="13"/>
  <c r="AE215" i="13" s="1"/>
  <c r="U215" i="13"/>
  <c r="W215" i="13" s="1"/>
  <c r="AF220" i="13"/>
  <c r="AF187" i="13"/>
  <c r="V200" i="13"/>
  <c r="AE200" i="13" s="1"/>
  <c r="U200" i="13"/>
  <c r="W200" i="13" s="1"/>
  <c r="AF208" i="13"/>
  <c r="AF223" i="13"/>
  <c r="V167" i="13"/>
  <c r="AE167" i="13" s="1"/>
  <c r="U167" i="13"/>
  <c r="W167" i="13" s="1"/>
  <c r="V197" i="13"/>
  <c r="AE197" i="13" s="1"/>
  <c r="U197" i="13"/>
  <c r="W197" i="13" s="1"/>
  <c r="V198" i="13"/>
  <c r="AE198" i="13" s="1"/>
  <c r="U198" i="13"/>
  <c r="W198" i="13" s="1"/>
  <c r="U202" i="13"/>
  <c r="W202" i="13" s="1"/>
  <c r="V202" i="13"/>
  <c r="AE202" i="13" s="1"/>
  <c r="V224" i="13"/>
  <c r="AE224" i="13" s="1"/>
  <c r="U224" i="13"/>
  <c r="W224" i="13" s="1"/>
  <c r="V180" i="13"/>
  <c r="AE180" i="13" s="1"/>
  <c r="U180" i="13"/>
  <c r="W180" i="13" s="1"/>
  <c r="AF188" i="13"/>
  <c r="AF196" i="13"/>
  <c r="U162" i="13"/>
  <c r="W162" i="13" s="1"/>
  <c r="U173" i="13"/>
  <c r="W173" i="13" s="1"/>
  <c r="V182" i="13"/>
  <c r="AE182" i="13" s="1"/>
  <c r="U182" i="13"/>
  <c r="W182" i="13" s="1"/>
  <c r="V196" i="13"/>
  <c r="AE196" i="13" s="1"/>
  <c r="V172" i="13"/>
  <c r="AE172" i="13" s="1"/>
  <c r="U185" i="13"/>
  <c r="W185" i="13" s="1"/>
  <c r="V190" i="13"/>
  <c r="AE190" i="13" s="1"/>
  <c r="U203" i="13"/>
  <c r="W203" i="13" s="1"/>
  <c r="V208" i="13"/>
  <c r="AE208" i="13" s="1"/>
  <c r="V220" i="13"/>
  <c r="AE220" i="13" s="1"/>
  <c r="AF478" i="13" l="1"/>
  <c r="AF161" i="13"/>
  <c r="AF152" i="13"/>
  <c r="AF457" i="13"/>
  <c r="AF396" i="13"/>
  <c r="AF245" i="13"/>
  <c r="AF676" i="13"/>
  <c r="AF599" i="13"/>
  <c r="AF488" i="13"/>
  <c r="AF497" i="13"/>
  <c r="AF154" i="13"/>
  <c r="AF79" i="13"/>
  <c r="AF349" i="13"/>
  <c r="AF527" i="13"/>
  <c r="AF515" i="13"/>
  <c r="AF364" i="13"/>
  <c r="AF610" i="13"/>
  <c r="AF335" i="13"/>
  <c r="AF459" i="13"/>
  <c r="AF397" i="13"/>
  <c r="AF581" i="13"/>
  <c r="AF168" i="13"/>
  <c r="AF533" i="13"/>
  <c r="AF587" i="13"/>
  <c r="AF121" i="13"/>
  <c r="AF347" i="13"/>
  <c r="AF455" i="13"/>
  <c r="AF715" i="13"/>
  <c r="AF313" i="13"/>
  <c r="AF204" i="13"/>
  <c r="AF358" i="13"/>
  <c r="AF183" i="13"/>
  <c r="AF110" i="13"/>
  <c r="AF707" i="13"/>
  <c r="AF304" i="13"/>
  <c r="AF336" i="13"/>
  <c r="AF689" i="13"/>
  <c r="AF150" i="13"/>
  <c r="AF640" i="13"/>
  <c r="AF222" i="13"/>
  <c r="AF525" i="13"/>
  <c r="AF624" i="13"/>
  <c r="AF512" i="13"/>
  <c r="AF495" i="13"/>
  <c r="AF296" i="13"/>
  <c r="AF20" i="13"/>
  <c r="AF156" i="13"/>
  <c r="AF628" i="13"/>
  <c r="AF603" i="13"/>
  <c r="AF385" i="13"/>
  <c r="AF723" i="13"/>
  <c r="AF320" i="13"/>
  <c r="AF179" i="13"/>
  <c r="AF206" i="13"/>
  <c r="AF312" i="13"/>
  <c r="AF376" i="13"/>
  <c r="AF670" i="13"/>
  <c r="AF421" i="13"/>
  <c r="AF306" i="13"/>
  <c r="AF658" i="13"/>
  <c r="AF449" i="13"/>
  <c r="AF370" i="13"/>
  <c r="AF695" i="13"/>
  <c r="AF694" i="13"/>
  <c r="AF623" i="13"/>
  <c r="AF13" i="13"/>
  <c r="AF181" i="13"/>
  <c r="AF665" i="13"/>
  <c r="AF500" i="13"/>
  <c r="AF382" i="13"/>
  <c r="AF249" i="13"/>
  <c r="AF101" i="13"/>
  <c r="AF108" i="13"/>
  <c r="AF305" i="13"/>
  <c r="AF92" i="13"/>
  <c r="AF346" i="13"/>
  <c r="AF843" i="13"/>
  <c r="AF294" i="13"/>
  <c r="AF316" i="13"/>
  <c r="AF740" i="13"/>
  <c r="AF531" i="13"/>
  <c r="AF368" i="13"/>
  <c r="AF437" i="13"/>
  <c r="AF95" i="13"/>
  <c r="AF328" i="13"/>
  <c r="AF664" i="13"/>
  <c r="AF484" i="13"/>
  <c r="AF543" i="13"/>
  <c r="AF570" i="13"/>
  <c r="AF494" i="13"/>
  <c r="AF298" i="13"/>
  <c r="AF286" i="13"/>
  <c r="AF551" i="13"/>
  <c r="AF146" i="13"/>
  <c r="AF699" i="13"/>
  <c r="AF609" i="13"/>
  <c r="AF12" i="13"/>
  <c r="AF691" i="13"/>
  <c r="AF184" i="13"/>
  <c r="AF214" i="13"/>
  <c r="AF319" i="13"/>
  <c r="AF19" i="13"/>
  <c r="AF465" i="13"/>
  <c r="AF233" i="13"/>
  <c r="AF631" i="13"/>
  <c r="AF561" i="13"/>
  <c r="AF669" i="13"/>
  <c r="AF191" i="13"/>
  <c r="AF218" i="13"/>
  <c r="AF48" i="13"/>
  <c r="AF318" i="13"/>
  <c r="AF343" i="13"/>
  <c r="AF148" i="13"/>
  <c r="AF330" i="13"/>
  <c r="AF281" i="13"/>
  <c r="AF60" i="13"/>
  <c r="AF439" i="13"/>
  <c r="AF334" i="13"/>
  <c r="AF682" i="13"/>
  <c r="AF681" i="13"/>
  <c r="AF653" i="13"/>
  <c r="AF604" i="13"/>
  <c r="AF605" i="13"/>
  <c r="AF61" i="13"/>
  <c r="AF217" i="13"/>
  <c r="AF103" i="13"/>
  <c r="AF403" i="13"/>
  <c r="AF293" i="13"/>
  <c r="AF7" i="13"/>
  <c r="AF458" i="13"/>
  <c r="AF157" i="13"/>
  <c r="AF91" i="13"/>
  <c r="AF445" i="13"/>
  <c r="AF834" i="13"/>
  <c r="AF563" i="13"/>
  <c r="AF367" i="13"/>
  <c r="AF683" i="13"/>
  <c r="AF477" i="13"/>
  <c r="AF585" i="13"/>
  <c r="AF507" i="13"/>
  <c r="AF344" i="13"/>
  <c r="AF420" i="13"/>
  <c r="AF372" i="13"/>
  <c r="AF470" i="13"/>
  <c r="AF523" i="13"/>
  <c r="AF67" i="13"/>
  <c r="AF170" i="13"/>
  <c r="AF613" i="13"/>
  <c r="AF635" i="13"/>
  <c r="AF579" i="13"/>
  <c r="AF659" i="13"/>
  <c r="AF446" i="13"/>
  <c r="AF134" i="13"/>
  <c r="AF521" i="13"/>
  <c r="AF677" i="13"/>
  <c r="AF78" i="13"/>
  <c r="AF263" i="13"/>
  <c r="AF354" i="13"/>
  <c r="AF127" i="13"/>
  <c r="AF854" i="13"/>
  <c r="AF342" i="13"/>
  <c r="AF324" i="13"/>
  <c r="AF241" i="13"/>
  <c r="AF243" i="13"/>
  <c r="AF386" i="13"/>
  <c r="AF289" i="13"/>
  <c r="AF782" i="13"/>
  <c r="AF755" i="13"/>
  <c r="AF526" i="13"/>
  <c r="AF842" i="13"/>
  <c r="AF194" i="13"/>
  <c r="AF130" i="13"/>
  <c r="AF846" i="13"/>
  <c r="AF712" i="13"/>
  <c r="AF547" i="13"/>
  <c r="AF30" i="13"/>
  <c r="AF299" i="13"/>
  <c r="AF539" i="13"/>
  <c r="AF611" i="13"/>
  <c r="AF239" i="13"/>
  <c r="AF120" i="13"/>
  <c r="AF398" i="13"/>
  <c r="AF80" i="13"/>
  <c r="AF711" i="13"/>
  <c r="AF738" i="13"/>
  <c r="AF262" i="13"/>
  <c r="AF132" i="13"/>
  <c r="AF284" i="13"/>
  <c r="AF593" i="13"/>
  <c r="AF404" i="13"/>
  <c r="AF314" i="13"/>
  <c r="AF791" i="13"/>
  <c r="AF746" i="13"/>
  <c r="AF836" i="13"/>
  <c r="AF26" i="13"/>
  <c r="AF860" i="13"/>
  <c r="AF407" i="13"/>
  <c r="AF166" i="13"/>
  <c r="AF160" i="13"/>
  <c r="AF51" i="13"/>
  <c r="AF758" i="13"/>
  <c r="AF714" i="13"/>
  <c r="AF295" i="13"/>
  <c r="AF627" i="13"/>
  <c r="AF569" i="13"/>
  <c r="AF209" i="13"/>
  <c r="AF138" i="13"/>
  <c r="AF90" i="13"/>
  <c r="AF171" i="13"/>
  <c r="AF100" i="13"/>
  <c r="AF326" i="13"/>
  <c r="AF812" i="13"/>
  <c r="AF508" i="13"/>
  <c r="AF350" i="13"/>
  <c r="AF848" i="13"/>
  <c r="AF595" i="13"/>
  <c r="AF671" i="13"/>
  <c r="AF548" i="13"/>
  <c r="AF50" i="13"/>
  <c r="AF571" i="13"/>
  <c r="AF794" i="13"/>
  <c r="AF195" i="13"/>
  <c r="AF379" i="13"/>
  <c r="AF705" i="13"/>
  <c r="AF147" i="13"/>
  <c r="AF471" i="13"/>
  <c r="AF37" i="13"/>
  <c r="AF8" i="13"/>
  <c r="AF207" i="13"/>
  <c r="AF158" i="13"/>
  <c r="AF212" i="13"/>
  <c r="AF86" i="13"/>
  <c r="AF383" i="13"/>
  <c r="AF761" i="13"/>
  <c r="AF743" i="13"/>
  <c r="AF726" i="13"/>
  <c r="AF389" i="13"/>
  <c r="AF666" i="13"/>
  <c r="AF673" i="13"/>
  <c r="AF473" i="13"/>
  <c r="AF637" i="13"/>
  <c r="AF529" i="13"/>
  <c r="AF472" i="13"/>
  <c r="AF661" i="13"/>
  <c r="AF553" i="13"/>
  <c r="AF643" i="13"/>
  <c r="AF18" i="13"/>
  <c r="AF513" i="13"/>
  <c r="AF464" i="13"/>
  <c r="AF128" i="13"/>
  <c r="AF163" i="13"/>
  <c r="AF502" i="13"/>
  <c r="AF256" i="13"/>
  <c r="AF38" i="13"/>
  <c r="AF619" i="13"/>
  <c r="AF14" i="13"/>
  <c r="AF211" i="13"/>
  <c r="AF178" i="13"/>
  <c r="AF109" i="13"/>
  <c r="AF443" i="13"/>
  <c r="AF621" i="13"/>
  <c r="AF549" i="13"/>
  <c r="AF144" i="13"/>
  <c r="AF307" i="13"/>
  <c r="AF773" i="13"/>
  <c r="AF697" i="13"/>
  <c r="AF592" i="13"/>
  <c r="AF554" i="13"/>
  <c r="AF401" i="13"/>
  <c r="AF479" i="13"/>
  <c r="AF544" i="13"/>
  <c r="AF274" i="13"/>
  <c r="AF767" i="13"/>
  <c r="AF27" i="13"/>
  <c r="AF366" i="13"/>
  <c r="AF124" i="13"/>
  <c r="AF216" i="13"/>
  <c r="AF116" i="13"/>
  <c r="AF210" i="13"/>
  <c r="AF770" i="13"/>
  <c r="AF752" i="13"/>
  <c r="AF735" i="13"/>
  <c r="AF717" i="13"/>
  <c r="AF583" i="13"/>
  <c r="AF514" i="13"/>
  <c r="AF496" i="13"/>
  <c r="AF803" i="13"/>
  <c r="AF380" i="13"/>
  <c r="AF830" i="13"/>
  <c r="AF749" i="13"/>
  <c r="AF655" i="13"/>
  <c r="AF94" i="13"/>
  <c r="AF363" i="13"/>
  <c r="AF255" i="13"/>
  <c r="AF838" i="13"/>
  <c r="AF811" i="13"/>
  <c r="AF802" i="13"/>
  <c r="AF784" i="13"/>
  <c r="AF748" i="13"/>
  <c r="AF722" i="13"/>
  <c r="AF597" i="13"/>
  <c r="AF468" i="13"/>
  <c r="AF22" i="13"/>
  <c r="AF448" i="13"/>
  <c r="AF616" i="13"/>
  <c r="AF59" i="13"/>
  <c r="AF540" i="13"/>
  <c r="AF522" i="13"/>
  <c r="AF248" i="13"/>
  <c r="AF469" i="13"/>
  <c r="AF238" i="13"/>
  <c r="AF598" i="13"/>
  <c r="AF198" i="13"/>
  <c r="AF117" i="13"/>
  <c r="AF111" i="13"/>
  <c r="AF96" i="13"/>
  <c r="AF430" i="13"/>
  <c r="AF424" i="13"/>
  <c r="AF405" i="13"/>
  <c r="AF414" i="13"/>
  <c r="AF129" i="13"/>
  <c r="AF310" i="13"/>
  <c r="AF390" i="13"/>
  <c r="AF311" i="13"/>
  <c r="AF626" i="13"/>
  <c r="AF608" i="13"/>
  <c r="AF692" i="13"/>
  <c r="AF651" i="13"/>
  <c r="AF633" i="13"/>
  <c r="AF693" i="13"/>
  <c r="AF662" i="13"/>
  <c r="AF646" i="13"/>
  <c r="AF556" i="13"/>
  <c r="AF76" i="13"/>
  <c r="AF16" i="13"/>
  <c r="AF700" i="13"/>
  <c r="AF517" i="13"/>
  <c r="AF499" i="13"/>
  <c r="AF65" i="13"/>
  <c r="AF35" i="13"/>
  <c r="AF11" i="13"/>
  <c r="AF242" i="13"/>
  <c r="AF542" i="13"/>
  <c r="AF167" i="13"/>
  <c r="AF435" i="13"/>
  <c r="AF381" i="13"/>
  <c r="AF264" i="13"/>
  <c r="AF820" i="13"/>
  <c r="AF757" i="13"/>
  <c r="AF203" i="13"/>
  <c r="AF173" i="13"/>
  <c r="AF418" i="13"/>
  <c r="AF87" i="13"/>
  <c r="AF85" i="13"/>
  <c r="AF155" i="13"/>
  <c r="AF99" i="13"/>
  <c r="AF453" i="13"/>
  <c r="AF114" i="13"/>
  <c r="AF351" i="13"/>
  <c r="AF315" i="13"/>
  <c r="AF369" i="13"/>
  <c r="AF333" i="13"/>
  <c r="AF402" i="13"/>
  <c r="AF270" i="13"/>
  <c r="AF261" i="13"/>
  <c r="AF862" i="13"/>
  <c r="AF853" i="13"/>
  <c r="AF844" i="13"/>
  <c r="AF835" i="13"/>
  <c r="AF826" i="13"/>
  <c r="AF817" i="13"/>
  <c r="AF808" i="13"/>
  <c r="AF799" i="13"/>
  <c r="AF790" i="13"/>
  <c r="AF781" i="13"/>
  <c r="AF772" i="13"/>
  <c r="AF763" i="13"/>
  <c r="AF754" i="13"/>
  <c r="AF745" i="13"/>
  <c r="AF737" i="13"/>
  <c r="AF728" i="13"/>
  <c r="AF719" i="13"/>
  <c r="AF279" i="13"/>
  <c r="AF400" i="13"/>
  <c r="AF686" i="13"/>
  <c r="AF602" i="13"/>
  <c r="AF644" i="13"/>
  <c r="AF591" i="13"/>
  <c r="AF573" i="13"/>
  <c r="AF58" i="13"/>
  <c r="AF10" i="13"/>
  <c r="AF614" i="13"/>
  <c r="AF475" i="13"/>
  <c r="AF29" i="13"/>
  <c r="AF236" i="13"/>
  <c r="AF5" i="13"/>
  <c r="AF232" i="13"/>
  <c r="AF182" i="13"/>
  <c r="AF442" i="13"/>
  <c r="AF793" i="13"/>
  <c r="AF766" i="13"/>
  <c r="AF731" i="13"/>
  <c r="AF713" i="13"/>
  <c r="AF412" i="13"/>
  <c r="AF596" i="13"/>
  <c r="AF663" i="13"/>
  <c r="AF555" i="13"/>
  <c r="AF481" i="13"/>
  <c r="AF162" i="13"/>
  <c r="AF224" i="13"/>
  <c r="AF197" i="13"/>
  <c r="AF215" i="13"/>
  <c r="AF226" i="13"/>
  <c r="AF106" i="13"/>
  <c r="AF153" i="13"/>
  <c r="AF280" i="13"/>
  <c r="AF384" i="13"/>
  <c r="AF388" i="13"/>
  <c r="AF701" i="13"/>
  <c r="AF638" i="13"/>
  <c r="AF645" i="13"/>
  <c r="AF615" i="13"/>
  <c r="AF52" i="13"/>
  <c r="AF537" i="13"/>
  <c r="AF511" i="13"/>
  <c r="AF493" i="13"/>
  <c r="AF230" i="13"/>
  <c r="AF463" i="13"/>
  <c r="AF41" i="13"/>
  <c r="AF250" i="13"/>
  <c r="AF89" i="13"/>
  <c r="AF327" i="13"/>
  <c r="AF273" i="13"/>
  <c r="AF856" i="13"/>
  <c r="AF847" i="13"/>
  <c r="AF775" i="13"/>
  <c r="AF185" i="13"/>
  <c r="AF180" i="13"/>
  <c r="AF200" i="13"/>
  <c r="AF118" i="13"/>
  <c r="AF105" i="13"/>
  <c r="AF394" i="13"/>
  <c r="AF107" i="13"/>
  <c r="AF175" i="13"/>
  <c r="AF454" i="13"/>
  <c r="AF140" i="13"/>
  <c r="AF375" i="13"/>
  <c r="AF339" i="13"/>
  <c r="AF427" i="13"/>
  <c r="AF387" i="13"/>
  <c r="AF357" i="13"/>
  <c r="AF321" i="13"/>
  <c r="AF303" i="13"/>
  <c r="AF462" i="13"/>
  <c r="AF432" i="13"/>
  <c r="AF450" i="13"/>
  <c r="AF276" i="13"/>
  <c r="AF267" i="13"/>
  <c r="AF258" i="13"/>
  <c r="AF859" i="13"/>
  <c r="AF850" i="13"/>
  <c r="AF841" i="13"/>
  <c r="AF832" i="13"/>
  <c r="AF823" i="13"/>
  <c r="AF814" i="13"/>
  <c r="AF805" i="13"/>
  <c r="AF796" i="13"/>
  <c r="AF787" i="13"/>
  <c r="AF778" i="13"/>
  <c r="AF769" i="13"/>
  <c r="AF760" i="13"/>
  <c r="AF751" i="13"/>
  <c r="AF742" i="13"/>
  <c r="AF734" i="13"/>
  <c r="AF725" i="13"/>
  <c r="AF716" i="13"/>
  <c r="AF277" i="13"/>
  <c r="AF710" i="13"/>
  <c r="AF650" i="13"/>
  <c r="AF687" i="13"/>
  <c r="AF656" i="13"/>
  <c r="AF620" i="13"/>
  <c r="AF698" i="13"/>
  <c r="AF657" i="13"/>
  <c r="AF634" i="13"/>
  <c r="AF492" i="13"/>
  <c r="AF46" i="13"/>
  <c r="AF568" i="13"/>
  <c r="AF24" i="13"/>
  <c r="AF47" i="13"/>
  <c r="AF586" i="13"/>
  <c r="AF53" i="13"/>
  <c r="AF23" i="13"/>
  <c r="AF558" i="13"/>
  <c r="AF487" i="13"/>
  <c r="AF6" i="13"/>
  <c r="AF71" i="13"/>
  <c r="AF202" i="13"/>
  <c r="AF169" i="13"/>
  <c r="AF436" i="13"/>
  <c r="AF297" i="13"/>
  <c r="AF345" i="13"/>
  <c r="AF829" i="13"/>
  <c r="AF145" i="13"/>
  <c r="AF112" i="13"/>
  <c r="AF164" i="13"/>
  <c r="AF123" i="13"/>
  <c r="AF93" i="13"/>
  <c r="AF441" i="13"/>
  <c r="AF83" i="13"/>
  <c r="AF82" i="13"/>
  <c r="AF409" i="13"/>
  <c r="AF447" i="13"/>
  <c r="AF309" i="13"/>
  <c r="AF406" i="13"/>
  <c r="AF142" i="13"/>
  <c r="AF680" i="13"/>
  <c r="AF632" i="13"/>
  <c r="AF486" i="13"/>
  <c r="AF40" i="13"/>
  <c r="AF668" i="13"/>
  <c r="AF17" i="13"/>
  <c r="AF519" i="13"/>
  <c r="AF505" i="13"/>
  <c r="AF254" i="13"/>
  <c r="AF524" i="13"/>
  <c r="AF674" i="13"/>
  <c r="AF244" i="13"/>
  <c r="T227" i="13" l="1"/>
  <c r="C323" i="13" l="1"/>
  <c r="C324" i="13"/>
  <c r="C325" i="13"/>
  <c r="C326" i="13"/>
  <c r="C327" i="13"/>
  <c r="C328" i="13"/>
  <c r="C329" i="13"/>
  <c r="C330" i="13"/>
  <c r="C331" i="13"/>
  <c r="C332" i="13"/>
  <c r="C333" i="13"/>
  <c r="C334" i="13"/>
  <c r="C335" i="13"/>
  <c r="C336" i="13"/>
  <c r="C337" i="13"/>
  <c r="C338" i="13"/>
  <c r="C339" i="13"/>
  <c r="C340" i="13"/>
  <c r="C341" i="13"/>
  <c r="C342" i="13"/>
  <c r="C343" i="13"/>
  <c r="C344" i="13"/>
  <c r="C345" i="13"/>
  <c r="C346" i="13"/>
  <c r="C347" i="13"/>
  <c r="C348" i="13"/>
  <c r="C349" i="13"/>
  <c r="C350" i="13"/>
  <c r="C351" i="13"/>
  <c r="C352" i="13"/>
  <c r="C353" i="13"/>
  <c r="C354" i="13"/>
  <c r="C355" i="13"/>
  <c r="C356" i="13"/>
  <c r="C357" i="13"/>
  <c r="C358" i="13"/>
  <c r="C359" i="13"/>
  <c r="C360" i="13"/>
  <c r="C361" i="13"/>
  <c r="C362" i="13"/>
  <c r="C363" i="13"/>
  <c r="C364" i="13"/>
  <c r="C365" i="13"/>
  <c r="C366" i="13"/>
  <c r="C367" i="13"/>
  <c r="C368" i="13"/>
  <c r="C369" i="13"/>
  <c r="C370" i="13"/>
  <c r="C371" i="13"/>
  <c r="C372" i="13"/>
  <c r="C373" i="13"/>
  <c r="C374" i="13"/>
  <c r="C375" i="13"/>
  <c r="C376" i="13"/>
  <c r="C377" i="13"/>
  <c r="C378" i="13"/>
  <c r="C379" i="13"/>
  <c r="C380" i="13"/>
  <c r="C381" i="13"/>
  <c r="C382" i="13"/>
  <c r="C383" i="13"/>
  <c r="C384" i="13"/>
  <c r="C385" i="13"/>
  <c r="C386" i="13"/>
  <c r="C387" i="13"/>
  <c r="C388" i="13"/>
  <c r="C389" i="13"/>
  <c r="C390" i="13"/>
  <c r="C391" i="13"/>
  <c r="C392" i="13"/>
  <c r="C393" i="13"/>
  <c r="C394" i="13"/>
  <c r="C395" i="13"/>
  <c r="C396" i="13"/>
  <c r="C397" i="13"/>
  <c r="C398" i="13"/>
  <c r="C399" i="13"/>
  <c r="C400" i="13"/>
  <c r="C401" i="13"/>
  <c r="C402" i="13"/>
  <c r="C403" i="13"/>
  <c r="C404" i="13"/>
  <c r="C405" i="13"/>
  <c r="C406" i="13"/>
  <c r="C407" i="13"/>
  <c r="C408" i="13"/>
  <c r="C409" i="13"/>
  <c r="C410" i="13"/>
  <c r="C411" i="13"/>
  <c r="C412" i="13"/>
  <c r="C413" i="13"/>
  <c r="C414" i="13"/>
  <c r="C415" i="13"/>
  <c r="C416" i="13"/>
  <c r="C417" i="13"/>
  <c r="C418" i="13"/>
  <c r="C419" i="13"/>
  <c r="C420" i="13"/>
  <c r="C421" i="13"/>
  <c r="C422" i="13"/>
  <c r="C423" i="13"/>
  <c r="C424" i="13"/>
  <c r="C425" i="13"/>
  <c r="C426" i="13"/>
  <c r="C427" i="13"/>
  <c r="C428" i="13"/>
  <c r="C429" i="13"/>
  <c r="C430" i="13"/>
  <c r="C431" i="13"/>
  <c r="C432" i="13"/>
  <c r="C433" i="13"/>
  <c r="C434" i="13"/>
  <c r="C435" i="13"/>
  <c r="C436" i="13"/>
  <c r="C437" i="13"/>
  <c r="C438" i="13"/>
  <c r="C439" i="13"/>
  <c r="C440" i="13"/>
  <c r="C441" i="13"/>
  <c r="C442" i="13"/>
  <c r="C443" i="13"/>
  <c r="C444" i="13"/>
  <c r="C445" i="13"/>
  <c r="C446" i="13"/>
  <c r="C447" i="13"/>
  <c r="C448" i="13"/>
  <c r="C449" i="13"/>
  <c r="C450" i="13"/>
  <c r="C451" i="13"/>
  <c r="C452" i="13"/>
  <c r="C453" i="13"/>
  <c r="C454" i="13"/>
  <c r="C455" i="13"/>
  <c r="C456" i="13"/>
  <c r="C457" i="13"/>
  <c r="C458" i="13"/>
  <c r="C459" i="13"/>
  <c r="C460" i="13"/>
  <c r="C461" i="13"/>
  <c r="C462" i="13"/>
  <c r="C77" i="13"/>
  <c r="C78" i="13"/>
  <c r="C79" i="13"/>
  <c r="C80" i="13"/>
  <c r="C81" i="13"/>
  <c r="C82" i="13"/>
  <c r="C83" i="13"/>
  <c r="C84" i="13"/>
  <c r="C85" i="13"/>
  <c r="C86" i="13"/>
  <c r="C87" i="13"/>
  <c r="C88" i="13"/>
  <c r="C89" i="13"/>
  <c r="C90" i="13"/>
  <c r="C91" i="13"/>
  <c r="C92" i="13"/>
  <c r="C93" i="13"/>
  <c r="C94" i="13"/>
  <c r="C95" i="13"/>
  <c r="C96" i="13"/>
  <c r="C97" i="13"/>
  <c r="C98" i="13"/>
  <c r="C99" i="13"/>
  <c r="C100" i="13"/>
  <c r="C101" i="13"/>
  <c r="C102" i="13"/>
  <c r="C103" i="13"/>
  <c r="C104" i="13"/>
  <c r="C105" i="13"/>
  <c r="C106" i="13"/>
  <c r="C107" i="13"/>
  <c r="C108" i="13"/>
  <c r="C109" i="13"/>
  <c r="C110" i="13"/>
  <c r="C111" i="13"/>
  <c r="C112" i="13"/>
  <c r="C113" i="13"/>
  <c r="C114" i="13"/>
  <c r="C115" i="13"/>
  <c r="C116" i="13"/>
  <c r="C117" i="13"/>
  <c r="C118" i="13"/>
  <c r="C119" i="13"/>
  <c r="C120" i="13"/>
  <c r="C121" i="13"/>
  <c r="C122" i="13"/>
  <c r="C123" i="13"/>
  <c r="C124" i="13"/>
  <c r="C125" i="13"/>
  <c r="C126" i="13"/>
  <c r="C127" i="13"/>
  <c r="C128" i="13"/>
  <c r="C129" i="13"/>
  <c r="C130" i="13"/>
  <c r="C131" i="13"/>
  <c r="C132" i="13"/>
  <c r="C133" i="13"/>
  <c r="C134" i="13"/>
  <c r="C135" i="13"/>
  <c r="C136" i="13"/>
  <c r="C137" i="13"/>
  <c r="C138" i="13"/>
  <c r="C139" i="13"/>
  <c r="C140" i="13"/>
  <c r="C141" i="13"/>
  <c r="C142" i="13"/>
  <c r="C143" i="13"/>
  <c r="C144" i="13"/>
  <c r="C145" i="13"/>
  <c r="C146" i="13"/>
  <c r="C147" i="13"/>
  <c r="C148" i="13"/>
  <c r="C149" i="13"/>
  <c r="C150" i="13"/>
  <c r="C151" i="13"/>
  <c r="C152" i="13"/>
  <c r="C153" i="13"/>
  <c r="C154" i="13"/>
  <c r="C155" i="13"/>
  <c r="C156" i="13"/>
  <c r="C157" i="13"/>
  <c r="C158" i="13"/>
  <c r="C159" i="13"/>
  <c r="C160" i="13"/>
  <c r="C161" i="13"/>
  <c r="C162" i="13"/>
  <c r="C163" i="13"/>
  <c r="C164" i="13"/>
  <c r="C165" i="13"/>
  <c r="C166" i="13"/>
  <c r="C167" i="13"/>
  <c r="C168" i="13"/>
  <c r="C169" i="13"/>
  <c r="C170" i="13"/>
  <c r="C171" i="13"/>
  <c r="C172" i="13"/>
  <c r="C173" i="13"/>
  <c r="C174" i="13"/>
  <c r="C175" i="13"/>
  <c r="C176" i="13"/>
  <c r="C177" i="13"/>
  <c r="C178" i="13"/>
  <c r="C179" i="13"/>
  <c r="C180" i="13"/>
  <c r="C181" i="13"/>
  <c r="C182" i="13"/>
  <c r="C183" i="13"/>
  <c r="C184" i="13"/>
  <c r="C185" i="13"/>
  <c r="C186" i="13"/>
  <c r="C187" i="13"/>
  <c r="C188" i="13"/>
  <c r="C189" i="13"/>
  <c r="C190" i="13"/>
  <c r="C191" i="13"/>
  <c r="C192" i="13"/>
  <c r="C193" i="13"/>
  <c r="C194" i="13"/>
  <c r="C195" i="13"/>
  <c r="C196" i="13"/>
  <c r="C197" i="13"/>
  <c r="C198" i="13"/>
  <c r="C199" i="13"/>
  <c r="C200" i="13"/>
  <c r="C201" i="13"/>
  <c r="C202" i="13"/>
  <c r="C203" i="13"/>
  <c r="C204" i="13"/>
  <c r="C205" i="13"/>
  <c r="C206" i="13"/>
  <c r="C207" i="13"/>
  <c r="C208" i="13"/>
  <c r="C209" i="13"/>
  <c r="C210" i="13"/>
  <c r="C211" i="13"/>
  <c r="C212" i="13"/>
  <c r="C213" i="13"/>
  <c r="C214" i="13"/>
  <c r="C215" i="13"/>
  <c r="C216" i="13"/>
  <c r="C217" i="13"/>
  <c r="C218" i="13"/>
  <c r="C219" i="13"/>
  <c r="C220" i="13"/>
  <c r="C221" i="13"/>
  <c r="C222" i="13"/>
  <c r="C223" i="13"/>
  <c r="C224" i="13"/>
  <c r="C225" i="13"/>
  <c r="C226" i="13"/>
  <c r="D323" i="13"/>
  <c r="D324" i="13"/>
  <c r="D325" i="13"/>
  <c r="D326" i="13"/>
  <c r="D327" i="13"/>
  <c r="D328" i="13"/>
  <c r="D329" i="13"/>
  <c r="D330" i="13"/>
  <c r="D331" i="13"/>
  <c r="D332" i="13"/>
  <c r="D333" i="13"/>
  <c r="D334" i="13"/>
  <c r="D335" i="13"/>
  <c r="D336" i="13"/>
  <c r="D337" i="13"/>
  <c r="D338" i="13"/>
  <c r="D339" i="13"/>
  <c r="D340" i="13"/>
  <c r="D341" i="13"/>
  <c r="D342" i="13"/>
  <c r="D343" i="13"/>
  <c r="D344" i="13"/>
  <c r="D345" i="13"/>
  <c r="D346" i="13"/>
  <c r="D347" i="13"/>
  <c r="D348" i="13"/>
  <c r="D349" i="13"/>
  <c r="D350" i="13"/>
  <c r="D351" i="13"/>
  <c r="D352" i="13"/>
  <c r="D353" i="13"/>
  <c r="D354" i="13"/>
  <c r="D355" i="13"/>
  <c r="D356" i="13"/>
  <c r="D357" i="13"/>
  <c r="D358" i="13"/>
  <c r="D359" i="13"/>
  <c r="D360" i="13"/>
  <c r="D361" i="13"/>
  <c r="D362" i="13"/>
  <c r="D363" i="13"/>
  <c r="D364" i="13"/>
  <c r="D365" i="13"/>
  <c r="D366" i="13"/>
  <c r="D367" i="13"/>
  <c r="D368" i="13"/>
  <c r="D369" i="13"/>
  <c r="D370" i="13"/>
  <c r="D371" i="13"/>
  <c r="D372" i="13"/>
  <c r="D373" i="13"/>
  <c r="D374" i="13"/>
  <c r="D375" i="13"/>
  <c r="D376" i="13"/>
  <c r="D377" i="13"/>
  <c r="D378" i="13"/>
  <c r="D379" i="13"/>
  <c r="D380" i="13"/>
  <c r="D381" i="13"/>
  <c r="D382" i="13"/>
  <c r="D383" i="13"/>
  <c r="D384" i="13"/>
  <c r="D385" i="13"/>
  <c r="D386" i="13"/>
  <c r="D387" i="13"/>
  <c r="D388" i="13"/>
  <c r="D389" i="13"/>
  <c r="D390" i="13"/>
  <c r="D391" i="13"/>
  <c r="D392" i="13"/>
  <c r="D393" i="13"/>
  <c r="D394" i="13"/>
  <c r="D395" i="13"/>
  <c r="D396" i="13"/>
  <c r="D397" i="13"/>
  <c r="D398" i="13"/>
  <c r="D399" i="13"/>
  <c r="D400" i="13"/>
  <c r="D401" i="13"/>
  <c r="D402" i="13"/>
  <c r="D403" i="13"/>
  <c r="D404" i="13"/>
  <c r="D405" i="13"/>
  <c r="D406" i="13"/>
  <c r="D407" i="13"/>
  <c r="D408" i="13"/>
  <c r="D409" i="13"/>
  <c r="D410" i="13"/>
  <c r="D411" i="13"/>
  <c r="D412" i="13"/>
  <c r="D413" i="13"/>
  <c r="D414" i="13"/>
  <c r="D415" i="13"/>
  <c r="D416" i="13"/>
  <c r="D417" i="13"/>
  <c r="D418" i="13"/>
  <c r="D419" i="13"/>
  <c r="D420" i="13"/>
  <c r="D421" i="13"/>
  <c r="D422" i="13"/>
  <c r="D423" i="13"/>
  <c r="D424" i="13"/>
  <c r="D425" i="13"/>
  <c r="D426" i="13"/>
  <c r="D427" i="13"/>
  <c r="D428" i="13"/>
  <c r="D429" i="13"/>
  <c r="D430" i="13"/>
  <c r="D431" i="13"/>
  <c r="D432" i="13"/>
  <c r="D433" i="13"/>
  <c r="D434" i="13"/>
  <c r="D435" i="13"/>
  <c r="D436" i="13"/>
  <c r="D437" i="13"/>
  <c r="D438" i="13"/>
  <c r="D439" i="13"/>
  <c r="D440" i="13"/>
  <c r="D441" i="13"/>
  <c r="D442" i="13"/>
  <c r="D443" i="13"/>
  <c r="D444" i="13"/>
  <c r="D445" i="13"/>
  <c r="D446" i="13"/>
  <c r="D447" i="13"/>
  <c r="D448" i="13"/>
  <c r="D449" i="13"/>
  <c r="D450" i="13"/>
  <c r="D451" i="13"/>
  <c r="D452" i="13"/>
  <c r="D453" i="13"/>
  <c r="D454" i="13"/>
  <c r="D455" i="13"/>
  <c r="D456" i="13"/>
  <c r="D457" i="13"/>
  <c r="D458" i="13"/>
  <c r="D459" i="13"/>
  <c r="D460" i="13"/>
  <c r="D461" i="13"/>
  <c r="D462" i="13"/>
  <c r="D77" i="13"/>
  <c r="D78" i="13"/>
  <c r="D79" i="13"/>
  <c r="D80" i="13"/>
  <c r="D81" i="13"/>
  <c r="D82" i="13"/>
  <c r="D83" i="13"/>
  <c r="D84" i="13"/>
  <c r="D85" i="13"/>
  <c r="D86" i="13"/>
  <c r="D87" i="13"/>
  <c r="D88" i="13"/>
  <c r="D89" i="13"/>
  <c r="D90" i="13"/>
  <c r="D91" i="13"/>
  <c r="D92" i="13"/>
  <c r="D93" i="13"/>
  <c r="D94" i="13"/>
  <c r="D95" i="13"/>
  <c r="D96" i="13"/>
  <c r="D97" i="13"/>
  <c r="D98" i="13"/>
  <c r="D99" i="13"/>
  <c r="D100" i="13"/>
  <c r="D101" i="13"/>
  <c r="D102" i="13"/>
  <c r="D103" i="13"/>
  <c r="D104" i="13"/>
  <c r="D105" i="13"/>
  <c r="D106" i="13"/>
  <c r="D107" i="13"/>
  <c r="D108" i="13"/>
  <c r="D109" i="13"/>
  <c r="D110" i="13"/>
  <c r="D111" i="13"/>
  <c r="D112" i="13"/>
  <c r="D113" i="13"/>
  <c r="D114" i="13"/>
  <c r="D115" i="13"/>
  <c r="D116" i="13"/>
  <c r="D117" i="13"/>
  <c r="D118" i="13"/>
  <c r="D119" i="13"/>
  <c r="D120" i="13"/>
  <c r="D121" i="13"/>
  <c r="D122" i="13"/>
  <c r="D123" i="13"/>
  <c r="D124" i="13"/>
  <c r="D125" i="13"/>
  <c r="D126" i="13"/>
  <c r="D127" i="13"/>
  <c r="D128" i="13"/>
  <c r="D129" i="13"/>
  <c r="D130" i="13"/>
  <c r="D131" i="13"/>
  <c r="D132" i="13"/>
  <c r="D133" i="13"/>
  <c r="D134" i="13"/>
  <c r="D135" i="13"/>
  <c r="D136" i="13"/>
  <c r="D137" i="13"/>
  <c r="D138" i="13"/>
  <c r="D139" i="13"/>
  <c r="D140" i="13"/>
  <c r="D141" i="13"/>
  <c r="D142" i="13"/>
  <c r="D143" i="13"/>
  <c r="D144" i="13"/>
  <c r="D145" i="13"/>
  <c r="D146" i="13"/>
  <c r="D147" i="13"/>
  <c r="D148" i="13"/>
  <c r="D149" i="13"/>
  <c r="D150" i="13"/>
  <c r="D151" i="13"/>
  <c r="D152" i="13"/>
  <c r="D153" i="13"/>
  <c r="D154" i="13"/>
  <c r="D155" i="13"/>
  <c r="D156" i="13"/>
  <c r="D157" i="13"/>
  <c r="D158" i="13"/>
  <c r="D159" i="13"/>
  <c r="D160" i="13"/>
  <c r="D161" i="13"/>
  <c r="D162" i="13"/>
  <c r="D163" i="13"/>
  <c r="D164" i="13"/>
  <c r="D165" i="13"/>
  <c r="D166" i="13"/>
  <c r="D167" i="13"/>
  <c r="D168" i="13"/>
  <c r="D169" i="13"/>
  <c r="D170" i="13"/>
  <c r="D171" i="13"/>
  <c r="D172" i="13"/>
  <c r="D173" i="13"/>
  <c r="D174" i="13"/>
  <c r="D175" i="13"/>
  <c r="D176" i="13"/>
  <c r="D177" i="13"/>
  <c r="D178" i="13"/>
  <c r="D179" i="13"/>
  <c r="D180" i="13"/>
  <c r="D181" i="13"/>
  <c r="D182" i="13"/>
  <c r="D183" i="13"/>
  <c r="D184" i="13"/>
  <c r="D185" i="13"/>
  <c r="D186" i="13"/>
  <c r="D187" i="13"/>
  <c r="D188" i="13"/>
  <c r="D189" i="13"/>
  <c r="D190" i="13"/>
  <c r="D191" i="13"/>
  <c r="D192" i="13"/>
  <c r="D193" i="13"/>
  <c r="D194" i="13"/>
  <c r="D195" i="13"/>
  <c r="D196" i="13"/>
  <c r="D197" i="13"/>
  <c r="D198" i="13"/>
  <c r="D199" i="13"/>
  <c r="D200" i="13"/>
  <c r="D201" i="13"/>
  <c r="D202" i="13"/>
  <c r="D203" i="13"/>
  <c r="D204" i="13"/>
  <c r="D205" i="13"/>
  <c r="D206" i="13"/>
  <c r="D207" i="13"/>
  <c r="D208" i="13"/>
  <c r="D209" i="13"/>
  <c r="D210" i="13"/>
  <c r="D211" i="13"/>
  <c r="D212" i="13"/>
  <c r="D213" i="13"/>
  <c r="D214" i="13"/>
  <c r="D215" i="13"/>
  <c r="D216" i="13"/>
  <c r="D217" i="13"/>
  <c r="D218" i="13"/>
  <c r="D219" i="13"/>
  <c r="D220" i="13"/>
  <c r="D221" i="13"/>
  <c r="D222" i="13"/>
  <c r="D223" i="13"/>
  <c r="D224" i="13"/>
  <c r="D225" i="13"/>
  <c r="D226" i="13"/>
  <c r="C753" i="13"/>
  <c r="C754" i="13"/>
  <c r="C755" i="13"/>
  <c r="C756" i="13"/>
  <c r="C757" i="13"/>
  <c r="C758" i="13"/>
  <c r="C759" i="13"/>
  <c r="C760" i="13"/>
  <c r="C761" i="13"/>
  <c r="C762" i="13"/>
  <c r="C763" i="13"/>
  <c r="C764" i="13"/>
  <c r="C765" i="13"/>
  <c r="C766" i="13"/>
  <c r="C767" i="13"/>
  <c r="C768" i="13"/>
  <c r="C769" i="13"/>
  <c r="C770" i="13"/>
  <c r="C771" i="13"/>
  <c r="C772" i="13"/>
  <c r="C773" i="13"/>
  <c r="C774" i="13"/>
  <c r="C775" i="13"/>
  <c r="C776" i="13"/>
  <c r="C777" i="13"/>
  <c r="C778" i="13"/>
  <c r="C779" i="13"/>
  <c r="C780" i="13"/>
  <c r="C781" i="13"/>
  <c r="C782" i="13"/>
  <c r="C783" i="13"/>
  <c r="C784" i="13"/>
  <c r="C785" i="13"/>
  <c r="C786" i="13"/>
  <c r="C787" i="13"/>
  <c r="C788" i="13"/>
  <c r="C789" i="13"/>
  <c r="C790" i="13"/>
  <c r="C791" i="13"/>
  <c r="C792" i="13"/>
  <c r="C793" i="13"/>
  <c r="C794" i="13"/>
  <c r="C795" i="13"/>
  <c r="C796" i="13"/>
  <c r="C797" i="13"/>
  <c r="C798" i="13"/>
  <c r="C799" i="13"/>
  <c r="C800" i="13"/>
  <c r="C801" i="13"/>
  <c r="C802" i="13"/>
  <c r="C803" i="13"/>
  <c r="C804" i="13"/>
  <c r="C805" i="13"/>
  <c r="C806" i="13"/>
  <c r="C807" i="13"/>
  <c r="C808" i="13"/>
  <c r="C809" i="13"/>
  <c r="C810" i="13"/>
  <c r="C811" i="13"/>
  <c r="C812" i="13"/>
  <c r="C813" i="13"/>
  <c r="C814" i="13"/>
  <c r="C815" i="13"/>
  <c r="C816" i="13"/>
  <c r="C817" i="13"/>
  <c r="C818" i="13"/>
  <c r="C819" i="13"/>
  <c r="C820" i="13"/>
  <c r="C821" i="13"/>
  <c r="C822" i="13"/>
  <c r="C823" i="13"/>
  <c r="C824" i="13"/>
  <c r="C825" i="13"/>
  <c r="C826" i="13"/>
  <c r="C827" i="13"/>
  <c r="C828" i="13"/>
  <c r="C829" i="13"/>
  <c r="C830" i="13"/>
  <c r="C831" i="13"/>
  <c r="C832" i="13"/>
  <c r="C833" i="13"/>
  <c r="C834" i="13"/>
  <c r="C835" i="13"/>
  <c r="C836" i="13"/>
  <c r="C837" i="13"/>
  <c r="C838" i="13"/>
  <c r="C839" i="13"/>
  <c r="C840" i="13"/>
  <c r="C841" i="13"/>
  <c r="C842" i="13"/>
  <c r="C843" i="13"/>
  <c r="C844" i="13"/>
  <c r="C845" i="13"/>
  <c r="C846" i="13"/>
  <c r="C847" i="13"/>
  <c r="C848" i="13"/>
  <c r="C849" i="13"/>
  <c r="C850" i="13"/>
  <c r="C851" i="13"/>
  <c r="C852" i="13"/>
  <c r="C853" i="13"/>
  <c r="C854" i="13"/>
  <c r="C855" i="13"/>
  <c r="C856" i="13"/>
  <c r="C857" i="13"/>
  <c r="C858" i="13"/>
  <c r="C859" i="13"/>
  <c r="C860" i="13"/>
  <c r="C861" i="13"/>
  <c r="C862" i="13"/>
  <c r="C863" i="13"/>
  <c r="C864" i="13"/>
  <c r="C255" i="13"/>
  <c r="C256" i="13"/>
  <c r="C257" i="13"/>
  <c r="C258" i="13"/>
  <c r="C259" i="13"/>
  <c r="C260" i="13"/>
  <c r="C261" i="13"/>
  <c r="C262" i="13"/>
  <c r="C263" i="13"/>
  <c r="C264" i="13"/>
  <c r="C265" i="13"/>
  <c r="C266" i="13"/>
  <c r="C267" i="13"/>
  <c r="C268" i="13"/>
  <c r="C269" i="13"/>
  <c r="C270" i="13"/>
  <c r="C271" i="13"/>
  <c r="C272" i="13"/>
  <c r="C273" i="13"/>
  <c r="C274" i="13"/>
  <c r="C275" i="13"/>
  <c r="C276" i="13"/>
  <c r="C277" i="13"/>
  <c r="C278" i="13"/>
  <c r="C279" i="13"/>
  <c r="C280" i="13"/>
  <c r="C281" i="13"/>
  <c r="C282" i="13"/>
  <c r="C283" i="13"/>
  <c r="C284" i="13"/>
  <c r="C285" i="13"/>
  <c r="C286" i="13"/>
  <c r="C287" i="13"/>
  <c r="C288" i="13"/>
  <c r="C289" i="13"/>
  <c r="C290" i="13"/>
  <c r="C291" i="13"/>
  <c r="C292" i="13"/>
  <c r="C293" i="13"/>
  <c r="C294" i="13"/>
  <c r="C295" i="13"/>
  <c r="C296" i="13"/>
  <c r="C297" i="13"/>
  <c r="C298" i="13"/>
  <c r="C299" i="13"/>
  <c r="C300" i="13"/>
  <c r="C301" i="13"/>
  <c r="C302" i="13"/>
  <c r="C303" i="13"/>
  <c r="C304" i="13"/>
  <c r="C305" i="13"/>
  <c r="C306" i="13"/>
  <c r="C307" i="13"/>
  <c r="C308" i="13"/>
  <c r="C309" i="13"/>
  <c r="C310" i="13"/>
  <c r="C311" i="13"/>
  <c r="C312" i="13"/>
  <c r="C313" i="13"/>
  <c r="C314" i="13"/>
  <c r="C315" i="13"/>
  <c r="C316" i="13"/>
  <c r="C317" i="13"/>
  <c r="C318" i="13"/>
  <c r="C319" i="13"/>
  <c r="C320" i="13"/>
  <c r="C321" i="13"/>
  <c r="C322" i="13"/>
  <c r="D753" i="13"/>
  <c r="D754" i="13"/>
  <c r="D755" i="13"/>
  <c r="D756" i="13"/>
  <c r="D757" i="13"/>
  <c r="D758" i="13"/>
  <c r="D759" i="13"/>
  <c r="D760" i="13"/>
  <c r="D761" i="13"/>
  <c r="D762" i="13"/>
  <c r="D763" i="13"/>
  <c r="D764" i="13"/>
  <c r="D765" i="13"/>
  <c r="D766" i="13"/>
  <c r="D767" i="13"/>
  <c r="D768" i="13"/>
  <c r="D769" i="13"/>
  <c r="D770" i="13"/>
  <c r="D771" i="13"/>
  <c r="D772" i="13"/>
  <c r="D773" i="13"/>
  <c r="D774" i="13"/>
  <c r="D775" i="13"/>
  <c r="D776" i="13"/>
  <c r="D777" i="13"/>
  <c r="D778" i="13"/>
  <c r="D779" i="13"/>
  <c r="D780" i="13"/>
  <c r="D781" i="13"/>
  <c r="D782" i="13"/>
  <c r="D783" i="13"/>
  <c r="D784" i="13"/>
  <c r="D785" i="13"/>
  <c r="D786" i="13"/>
  <c r="D787" i="13"/>
  <c r="D788" i="13"/>
  <c r="D789" i="13"/>
  <c r="D790" i="13"/>
  <c r="D791" i="13"/>
  <c r="D792" i="13"/>
  <c r="D793" i="13"/>
  <c r="D794" i="13"/>
  <c r="D795" i="13"/>
  <c r="D796" i="13"/>
  <c r="D797" i="13"/>
  <c r="D798" i="13"/>
  <c r="D799" i="13"/>
  <c r="D800" i="13"/>
  <c r="D801" i="13"/>
  <c r="D802" i="13"/>
  <c r="D803" i="13"/>
  <c r="D804" i="13"/>
  <c r="D805" i="13"/>
  <c r="D806" i="13"/>
  <c r="D807" i="13"/>
  <c r="D808" i="13"/>
  <c r="D809" i="13"/>
  <c r="D810" i="13"/>
  <c r="D811" i="13"/>
  <c r="D812" i="13"/>
  <c r="D813" i="13"/>
  <c r="D814" i="13"/>
  <c r="D815" i="13"/>
  <c r="D816" i="13"/>
  <c r="D817" i="13"/>
  <c r="D818" i="13"/>
  <c r="D819" i="13"/>
  <c r="D820" i="13"/>
  <c r="D821" i="13"/>
  <c r="D822" i="13"/>
  <c r="D823" i="13"/>
  <c r="D824" i="13"/>
  <c r="D825" i="13"/>
  <c r="D826" i="13"/>
  <c r="D827" i="13"/>
  <c r="D828" i="13"/>
  <c r="D829" i="13"/>
  <c r="D830" i="13"/>
  <c r="D831" i="13"/>
  <c r="D832" i="13"/>
  <c r="D833" i="13"/>
  <c r="D834" i="13"/>
  <c r="D835" i="13"/>
  <c r="D836" i="13"/>
  <c r="D837" i="13"/>
  <c r="D838" i="13"/>
  <c r="D839" i="13"/>
  <c r="D840" i="13"/>
  <c r="D841" i="13"/>
  <c r="D842" i="13"/>
  <c r="D843" i="13"/>
  <c r="D844" i="13"/>
  <c r="D845" i="13"/>
  <c r="D846" i="13"/>
  <c r="D847" i="13"/>
  <c r="D848" i="13"/>
  <c r="D849" i="13"/>
  <c r="D850" i="13"/>
  <c r="D851" i="13"/>
  <c r="D852" i="13"/>
  <c r="D853" i="13"/>
  <c r="D854" i="13"/>
  <c r="D855" i="13"/>
  <c r="D856" i="13"/>
  <c r="D857" i="13"/>
  <c r="D858" i="13"/>
  <c r="D859" i="13"/>
  <c r="D860" i="13"/>
  <c r="D861" i="13"/>
  <c r="D862" i="13"/>
  <c r="D863" i="13"/>
  <c r="D864" i="13"/>
  <c r="D255" i="13"/>
  <c r="D256" i="13"/>
  <c r="D257" i="13"/>
  <c r="D258" i="13"/>
  <c r="D259" i="13"/>
  <c r="D260" i="13"/>
  <c r="D261" i="13"/>
  <c r="D262" i="13"/>
  <c r="D263" i="13"/>
  <c r="D264" i="13"/>
  <c r="D265" i="13"/>
  <c r="D266" i="13"/>
  <c r="D267" i="13"/>
  <c r="D268" i="13"/>
  <c r="D269" i="13"/>
  <c r="D270" i="13"/>
  <c r="D271" i="13"/>
  <c r="D272" i="13"/>
  <c r="D273" i="13"/>
  <c r="D274" i="13"/>
  <c r="D275" i="13"/>
  <c r="D276" i="13"/>
  <c r="D277" i="13"/>
  <c r="D278" i="13"/>
  <c r="D279" i="13"/>
  <c r="D280" i="13"/>
  <c r="D281" i="13"/>
  <c r="D282" i="13"/>
  <c r="D283" i="13"/>
  <c r="D284" i="13"/>
  <c r="D285" i="13"/>
  <c r="D286" i="13"/>
  <c r="D287" i="13"/>
  <c r="D288" i="13"/>
  <c r="D289" i="13"/>
  <c r="D290" i="13"/>
  <c r="D291" i="13"/>
  <c r="D292" i="13"/>
  <c r="D293" i="13"/>
  <c r="D294" i="13"/>
  <c r="D295" i="13"/>
  <c r="D296" i="13"/>
  <c r="D297" i="13"/>
  <c r="D298" i="13"/>
  <c r="D299" i="13"/>
  <c r="D300" i="13"/>
  <c r="D301" i="13"/>
  <c r="D302" i="13"/>
  <c r="D303" i="13"/>
  <c r="D304" i="13"/>
  <c r="D305" i="13"/>
  <c r="D306" i="13"/>
  <c r="D307" i="13"/>
  <c r="D308" i="13"/>
  <c r="D309" i="13"/>
  <c r="D310" i="13"/>
  <c r="D311" i="13"/>
  <c r="D312" i="13"/>
  <c r="D313" i="13"/>
  <c r="D314" i="13"/>
  <c r="D315" i="13"/>
  <c r="D316" i="13"/>
  <c r="D317" i="13"/>
  <c r="D318" i="13"/>
  <c r="D319" i="13"/>
  <c r="D320" i="13"/>
  <c r="D321" i="13"/>
  <c r="D322" i="13"/>
  <c r="D752" i="13" l="1"/>
  <c r="C752" i="13"/>
  <c r="D751" i="13"/>
  <c r="C751" i="13"/>
  <c r="D750" i="13"/>
  <c r="C750" i="13"/>
  <c r="D749" i="13"/>
  <c r="C749" i="13"/>
  <c r="D748" i="13"/>
  <c r="C748" i="13"/>
  <c r="D747" i="13"/>
  <c r="C747" i="13"/>
  <c r="D746" i="13"/>
  <c r="C746" i="13"/>
  <c r="D745" i="13"/>
  <c r="C745" i="13"/>
  <c r="D744" i="13"/>
  <c r="C744" i="13"/>
  <c r="D743" i="13"/>
  <c r="C743" i="13"/>
  <c r="D742" i="13"/>
  <c r="C742" i="13"/>
  <c r="D741" i="13"/>
  <c r="C741" i="13"/>
  <c r="D6" i="13" l="1"/>
  <c r="C6" i="13"/>
  <c r="C5" i="13"/>
  <c r="D679" i="13" l="1"/>
  <c r="C679" i="13"/>
  <c r="D678" i="13"/>
  <c r="C678" i="13"/>
  <c r="D677" i="13"/>
  <c r="C677" i="13"/>
  <c r="B7" i="19" l="1"/>
  <c r="B8" i="19"/>
  <c r="B9" i="19"/>
  <c r="B10" i="19"/>
  <c r="B11" i="19"/>
  <c r="B12" i="19"/>
  <c r="B13" i="19"/>
  <c r="B251" i="13" l="1"/>
  <c r="C251" i="13"/>
  <c r="D251" i="13"/>
  <c r="B252" i="13"/>
  <c r="C252" i="13"/>
  <c r="D252" i="13"/>
  <c r="B24" i="19" l="1"/>
  <c r="B23" i="19"/>
  <c r="B22" i="19"/>
  <c r="B21" i="19"/>
  <c r="B20" i="19"/>
  <c r="B19" i="19"/>
  <c r="B18" i="19"/>
  <c r="C13" i="19"/>
  <c r="C12" i="19"/>
  <c r="C11" i="19"/>
  <c r="C10" i="19"/>
  <c r="C9" i="19"/>
  <c r="C8" i="19"/>
  <c r="C7" i="19"/>
  <c r="I20" i="25"/>
  <c r="D20" i="25"/>
  <c r="B20" i="25"/>
  <c r="I19" i="25"/>
  <c r="D19" i="25"/>
  <c r="B19" i="25"/>
  <c r="G67" i="22"/>
  <c r="D67" i="22"/>
  <c r="B67" i="22"/>
  <c r="G64" i="22"/>
  <c r="D64" i="22"/>
  <c r="B64" i="22"/>
  <c r="D63" i="22"/>
  <c r="B63" i="22"/>
  <c r="G63" i="22"/>
  <c r="G60" i="22"/>
  <c r="D60" i="22"/>
  <c r="B60" i="22"/>
  <c r="G58" i="22"/>
  <c r="D58" i="22"/>
  <c r="B58" i="22"/>
  <c r="D57" i="22"/>
  <c r="B57" i="22"/>
  <c r="G56" i="22"/>
  <c r="D56" i="22"/>
  <c r="B56" i="22"/>
  <c r="G54" i="22"/>
  <c r="D54" i="22"/>
  <c r="B54" i="22"/>
  <c r="G51" i="22"/>
  <c r="D51" i="22"/>
  <c r="B51" i="22"/>
  <c r="G50" i="22"/>
  <c r="D50" i="22"/>
  <c r="B50" i="22"/>
  <c r="G49" i="22"/>
  <c r="D49" i="22"/>
  <c r="B49" i="22"/>
  <c r="G47" i="22"/>
  <c r="D47" i="22"/>
  <c r="B47" i="22"/>
  <c r="G46" i="22"/>
  <c r="D46" i="22"/>
  <c r="B46" i="22"/>
  <c r="G45" i="22"/>
  <c r="D45" i="22"/>
  <c r="B45" i="22"/>
  <c r="G44" i="22"/>
  <c r="D44" i="22"/>
  <c r="B44" i="22"/>
  <c r="G42" i="22"/>
  <c r="D42" i="22"/>
  <c r="B42" i="22"/>
  <c r="G41" i="22"/>
  <c r="D41" i="22"/>
  <c r="B41" i="22"/>
  <c r="G40" i="22"/>
  <c r="D40" i="22"/>
  <c r="B40" i="22"/>
  <c r="G39" i="22"/>
  <c r="D39" i="22"/>
  <c r="B39" i="22"/>
  <c r="G37" i="22"/>
  <c r="D37" i="22"/>
  <c r="B37" i="22"/>
  <c r="G34" i="22"/>
  <c r="D34" i="22"/>
  <c r="B34" i="22"/>
  <c r="G33" i="22"/>
  <c r="D33" i="22"/>
  <c r="B33" i="22"/>
  <c r="G32" i="22"/>
  <c r="D32" i="22"/>
  <c r="B32" i="22"/>
  <c r="G30" i="22"/>
  <c r="D30" i="22"/>
  <c r="B30" i="22"/>
  <c r="G29" i="22"/>
  <c r="D29" i="22"/>
  <c r="B29" i="22"/>
  <c r="D28" i="22"/>
  <c r="B28" i="22"/>
  <c r="G27" i="22"/>
  <c r="D27" i="22"/>
  <c r="B27" i="22"/>
  <c r="D20" i="19" l="1"/>
  <c r="D22" i="19"/>
  <c r="D19" i="19"/>
  <c r="D21" i="19"/>
  <c r="E19" i="19"/>
  <c r="E23" i="19"/>
  <c r="E20" i="19"/>
  <c r="E22" i="19"/>
  <c r="E21" i="19"/>
  <c r="E24" i="19"/>
  <c r="E18" i="19"/>
  <c r="G28" i="22"/>
  <c r="D18" i="19" s="1"/>
  <c r="D24" i="19"/>
  <c r="G57" i="22"/>
  <c r="D23" i="19" s="1"/>
  <c r="D740" i="13"/>
  <c r="C740" i="13"/>
  <c r="D738" i="13"/>
  <c r="C738" i="13"/>
  <c r="D737" i="13"/>
  <c r="C737" i="13"/>
  <c r="D736" i="13"/>
  <c r="C736" i="13"/>
  <c r="D735" i="13"/>
  <c r="C735" i="13"/>
  <c r="D734" i="13"/>
  <c r="C734" i="13"/>
  <c r="D733" i="13"/>
  <c r="C733" i="13"/>
  <c r="D732" i="13"/>
  <c r="C732" i="13"/>
  <c r="D731" i="13"/>
  <c r="C731" i="13"/>
  <c r="D730" i="13"/>
  <c r="C730" i="13"/>
  <c r="D729" i="13"/>
  <c r="C729" i="13"/>
  <c r="D728" i="13"/>
  <c r="C728" i="13"/>
  <c r="D727" i="13"/>
  <c r="C727" i="13"/>
  <c r="D726" i="13"/>
  <c r="C726" i="13"/>
  <c r="D725" i="13"/>
  <c r="C725" i="13"/>
  <c r="D724" i="13"/>
  <c r="C724" i="13"/>
  <c r="D723" i="13"/>
  <c r="C723" i="13"/>
  <c r="D722" i="13"/>
  <c r="C722" i="13"/>
  <c r="D721" i="13"/>
  <c r="C721" i="13"/>
  <c r="D720" i="13"/>
  <c r="C720" i="13"/>
  <c r="D719" i="13"/>
  <c r="C719" i="13"/>
  <c r="D718" i="13"/>
  <c r="C718" i="13"/>
  <c r="D717" i="13"/>
  <c r="C717" i="13"/>
  <c r="D716" i="13"/>
  <c r="C716" i="13"/>
  <c r="D715" i="13"/>
  <c r="C715" i="13"/>
  <c r="D714" i="13"/>
  <c r="C714" i="13"/>
  <c r="D713" i="13"/>
  <c r="C713" i="13"/>
  <c r="D712" i="13"/>
  <c r="C712" i="13"/>
  <c r="D711" i="13"/>
  <c r="C711" i="13"/>
  <c r="D710" i="13"/>
  <c r="C710" i="13"/>
  <c r="D709" i="13"/>
  <c r="C709" i="13"/>
  <c r="D708" i="13"/>
  <c r="C708" i="13"/>
  <c r="D707" i="13"/>
  <c r="C707" i="13"/>
  <c r="D706" i="13"/>
  <c r="C706" i="13"/>
  <c r="D705" i="13"/>
  <c r="C705" i="13"/>
  <c r="D704" i="13"/>
  <c r="C704" i="13"/>
  <c r="D703" i="13"/>
  <c r="C703" i="13"/>
  <c r="D702" i="13"/>
  <c r="C702" i="13"/>
  <c r="D701" i="13"/>
  <c r="C701" i="13"/>
  <c r="D700" i="13"/>
  <c r="C700" i="13"/>
  <c r="D699" i="13"/>
  <c r="C699" i="13"/>
  <c r="D698" i="13"/>
  <c r="C698" i="13"/>
  <c r="D697" i="13"/>
  <c r="C697" i="13"/>
  <c r="D696" i="13"/>
  <c r="C696" i="13"/>
  <c r="D695" i="13"/>
  <c r="C695" i="13"/>
  <c r="D694" i="13"/>
  <c r="C694" i="13"/>
  <c r="D693" i="13"/>
  <c r="C693" i="13"/>
  <c r="D692" i="13"/>
  <c r="C692" i="13"/>
  <c r="D691" i="13"/>
  <c r="C691" i="13"/>
  <c r="D690" i="13"/>
  <c r="C690" i="13"/>
  <c r="D689" i="13"/>
  <c r="C689" i="13"/>
  <c r="D688" i="13"/>
  <c r="C688" i="13"/>
  <c r="D687" i="13"/>
  <c r="C687" i="13"/>
  <c r="D686" i="13"/>
  <c r="C686" i="13"/>
  <c r="D685" i="13"/>
  <c r="C685" i="13"/>
  <c r="D684" i="13"/>
  <c r="C684" i="13"/>
  <c r="D683" i="13"/>
  <c r="C683" i="13"/>
  <c r="D682" i="13"/>
  <c r="C682" i="13"/>
  <c r="D681" i="13"/>
  <c r="C681" i="13"/>
  <c r="D680" i="13"/>
  <c r="C680" i="13"/>
  <c r="D676" i="13"/>
  <c r="C676" i="13"/>
  <c r="D675" i="13"/>
  <c r="C675" i="13"/>
  <c r="D674" i="13"/>
  <c r="C674" i="13"/>
  <c r="D673" i="13"/>
  <c r="C673" i="13"/>
  <c r="D672" i="13"/>
  <c r="C672" i="13"/>
  <c r="D671" i="13"/>
  <c r="C671" i="13"/>
  <c r="D670" i="13"/>
  <c r="C670" i="13"/>
  <c r="D669" i="13"/>
  <c r="C669" i="13"/>
  <c r="D668" i="13"/>
  <c r="C668" i="13"/>
  <c r="D667" i="13"/>
  <c r="C667" i="13"/>
  <c r="D666" i="13"/>
  <c r="C666" i="13"/>
  <c r="D665" i="13"/>
  <c r="C665" i="13"/>
  <c r="D664" i="13"/>
  <c r="C664" i="13"/>
  <c r="D663" i="13"/>
  <c r="C663" i="13"/>
  <c r="D662" i="13"/>
  <c r="C662" i="13"/>
  <c r="D661" i="13"/>
  <c r="C661" i="13"/>
  <c r="D660" i="13"/>
  <c r="C660" i="13"/>
  <c r="D659" i="13"/>
  <c r="C659" i="13"/>
  <c r="D658" i="13"/>
  <c r="C658" i="13"/>
  <c r="D657" i="13"/>
  <c r="C657" i="13"/>
  <c r="D656" i="13"/>
  <c r="C656" i="13"/>
  <c r="D655" i="13"/>
  <c r="C655" i="13"/>
  <c r="D654" i="13"/>
  <c r="C654" i="13"/>
  <c r="D653" i="13"/>
  <c r="C653" i="13"/>
  <c r="D652" i="13"/>
  <c r="C652" i="13"/>
  <c r="D651" i="13"/>
  <c r="C651" i="13"/>
  <c r="D650" i="13"/>
  <c r="C650" i="13"/>
  <c r="D649" i="13"/>
  <c r="C649" i="13"/>
  <c r="D648" i="13"/>
  <c r="C648" i="13"/>
  <c r="D647" i="13"/>
  <c r="C647" i="13"/>
  <c r="D646" i="13"/>
  <c r="C646" i="13"/>
  <c r="D645" i="13"/>
  <c r="C645" i="13"/>
  <c r="D644" i="13"/>
  <c r="C644" i="13"/>
  <c r="D643" i="13"/>
  <c r="C643" i="13"/>
  <c r="D642" i="13"/>
  <c r="C642" i="13"/>
  <c r="D641" i="13"/>
  <c r="C641" i="13"/>
  <c r="D640" i="13"/>
  <c r="C640" i="13"/>
  <c r="D639" i="13"/>
  <c r="C639" i="13"/>
  <c r="D638" i="13"/>
  <c r="C638" i="13"/>
  <c r="D637" i="13"/>
  <c r="C637" i="13"/>
  <c r="D636" i="13"/>
  <c r="C636" i="13"/>
  <c r="D635" i="13"/>
  <c r="C635" i="13"/>
  <c r="D634" i="13"/>
  <c r="C634" i="13"/>
  <c r="D633" i="13"/>
  <c r="C633" i="13"/>
  <c r="D632" i="13"/>
  <c r="C632" i="13"/>
  <c r="D631" i="13"/>
  <c r="C631" i="13"/>
  <c r="D630" i="13"/>
  <c r="C630" i="13"/>
  <c r="D629" i="13"/>
  <c r="C629" i="13"/>
  <c r="D628" i="13"/>
  <c r="C628" i="13"/>
  <c r="D627" i="13"/>
  <c r="C627" i="13"/>
  <c r="D626" i="13"/>
  <c r="C626" i="13"/>
  <c r="D625" i="13"/>
  <c r="C625" i="13"/>
  <c r="D624" i="13"/>
  <c r="C624" i="13"/>
  <c r="D623" i="13"/>
  <c r="C623" i="13"/>
  <c r="D622" i="13"/>
  <c r="C622" i="13"/>
  <c r="D621" i="13"/>
  <c r="C621" i="13"/>
  <c r="D620" i="13"/>
  <c r="C620" i="13"/>
  <c r="D619" i="13"/>
  <c r="C619" i="13"/>
  <c r="D618" i="13"/>
  <c r="C618" i="13"/>
  <c r="D617" i="13"/>
  <c r="C617" i="13"/>
  <c r="D616" i="13"/>
  <c r="C616" i="13"/>
  <c r="D615" i="13"/>
  <c r="C615" i="13"/>
  <c r="E5" i="31" l="1"/>
  <c r="E6" i="31"/>
  <c r="E7" i="31"/>
  <c r="E8" i="31"/>
  <c r="D9" i="31"/>
  <c r="I21" i="31"/>
  <c r="K21" i="31" s="1"/>
  <c r="M21" i="31" s="1"/>
  <c r="O21" i="31" s="1"/>
  <c r="I22" i="31"/>
  <c r="K22" i="31" s="1"/>
  <c r="M22" i="31" s="1"/>
  <c r="O22" i="31" s="1"/>
  <c r="Q22" i="31" s="1"/>
  <c r="I23" i="31"/>
  <c r="K23" i="31" s="1"/>
  <c r="M23" i="31" s="1"/>
  <c r="O23" i="31" s="1"/>
  <c r="Q23" i="31" s="1"/>
  <c r="I25" i="31"/>
  <c r="K25" i="31" s="1"/>
  <c r="M25" i="31" s="1"/>
  <c r="O25" i="31" s="1"/>
  <c r="Q25" i="31" s="1"/>
  <c r="I30" i="31"/>
  <c r="K30" i="31" s="1"/>
  <c r="M30" i="31" s="1"/>
  <c r="O30" i="31" s="1"/>
  <c r="Q30" i="31" s="1"/>
  <c r="I31" i="31"/>
  <c r="K31" i="31" s="1"/>
  <c r="M31" i="31" s="1"/>
  <c r="O31" i="31" s="1"/>
  <c r="Q31" i="31" s="1"/>
  <c r="I32" i="31"/>
  <c r="K32" i="31" s="1"/>
  <c r="M32" i="31" s="1"/>
  <c r="O32" i="31" s="1"/>
  <c r="Q32" i="31" s="1"/>
  <c r="E9" i="31" l="1"/>
  <c r="E10" i="31" s="1"/>
  <c r="E13" i="31" s="1"/>
  <c r="I13" i="31" s="1"/>
  <c r="Q21" i="31"/>
  <c r="E16" i="31" l="1"/>
  <c r="I16" i="31" s="1"/>
  <c r="K16" i="31" s="1"/>
  <c r="M16" i="31" s="1"/>
  <c r="O16" i="31" s="1"/>
  <c r="Q16" i="31" s="1"/>
  <c r="E14" i="31"/>
  <c r="I14" i="31" s="1"/>
  <c r="K14" i="31" s="1"/>
  <c r="M14" i="31" s="1"/>
  <c r="O14" i="31" s="1"/>
  <c r="Q14" i="31" s="1"/>
  <c r="E24" i="31"/>
  <c r="I24" i="31" s="1"/>
  <c r="E15" i="31"/>
  <c r="I15" i="31" s="1"/>
  <c r="K15" i="31" s="1"/>
  <c r="M15" i="31" s="1"/>
  <c r="O15" i="31" s="1"/>
  <c r="Q15" i="31" s="1"/>
  <c r="I10" i="31"/>
  <c r="K10" i="31" s="1"/>
  <c r="M10" i="31" s="1"/>
  <c r="O10" i="31" s="1"/>
  <c r="Q10" i="31" s="1"/>
  <c r="E17" i="31"/>
  <c r="I17" i="31" s="1"/>
  <c r="K17" i="31" s="1"/>
  <c r="M17" i="31" s="1"/>
  <c r="O17" i="31" s="1"/>
  <c r="Q17" i="31" s="1"/>
  <c r="K13" i="31"/>
  <c r="I18" i="31" l="1"/>
  <c r="E18" i="31"/>
  <c r="E29" i="31" s="1"/>
  <c r="E26" i="31"/>
  <c r="K24" i="31"/>
  <c r="I26" i="31"/>
  <c r="K18" i="31"/>
  <c r="M13" i="31"/>
  <c r="M24" i="31" l="1"/>
  <c r="K26" i="31"/>
  <c r="E33" i="31"/>
  <c r="E35" i="31" s="1"/>
  <c r="I29" i="31"/>
  <c r="O13" i="31"/>
  <c r="M18" i="31"/>
  <c r="C19" i="32" l="1"/>
  <c r="I39" i="32" s="1"/>
  <c r="C18" i="32"/>
  <c r="C14" i="32"/>
  <c r="C9" i="32"/>
  <c r="C10" i="32"/>
  <c r="O24" i="31"/>
  <c r="M26" i="31"/>
  <c r="O18" i="31"/>
  <c r="Q13" i="31"/>
  <c r="Q18" i="31" s="1"/>
  <c r="I33" i="31"/>
  <c r="I35" i="31" s="1"/>
  <c r="K29" i="31"/>
  <c r="D38" i="31"/>
  <c r="D39" i="31"/>
  <c r="D41" i="31"/>
  <c r="D40" i="31"/>
  <c r="I41" i="32" l="1"/>
  <c r="F23" i="19" s="1"/>
  <c r="I33" i="32"/>
  <c r="I32" i="32"/>
  <c r="F21" i="19" s="1"/>
  <c r="I35" i="32"/>
  <c r="I28" i="32"/>
  <c r="F18" i="19" s="1"/>
  <c r="X903" i="13"/>
  <c r="X895" i="13"/>
  <c r="X907" i="13"/>
  <c r="X915" i="13"/>
  <c r="X898" i="13"/>
  <c r="X899" i="13"/>
  <c r="X911" i="13"/>
  <c r="X919" i="13"/>
  <c r="X914" i="13"/>
  <c r="X910" i="13"/>
  <c r="X905" i="13"/>
  <c r="X913" i="13"/>
  <c r="X900" i="13"/>
  <c r="X902" i="13"/>
  <c r="X912" i="13"/>
  <c r="X908" i="13"/>
  <c r="X897" i="13"/>
  <c r="X906" i="13"/>
  <c r="X917" i="13"/>
  <c r="X916" i="13"/>
  <c r="X901" i="13"/>
  <c r="X918" i="13"/>
  <c r="X920" i="13"/>
  <c r="X909" i="13"/>
  <c r="X896" i="13"/>
  <c r="X904" i="13"/>
  <c r="X869" i="13"/>
  <c r="X881" i="13"/>
  <c r="X875" i="13"/>
  <c r="X867" i="13"/>
  <c r="X890" i="13"/>
  <c r="X865" i="13"/>
  <c r="X884" i="13"/>
  <c r="X888" i="13"/>
  <c r="X870" i="13"/>
  <c r="X883" i="13"/>
  <c r="X886" i="13"/>
  <c r="X872" i="13"/>
  <c r="X868" i="13"/>
  <c r="X887" i="13"/>
  <c r="X878" i="13"/>
  <c r="X873" i="13"/>
  <c r="X889" i="13"/>
  <c r="X877" i="13"/>
  <c r="X871" i="13"/>
  <c r="X893" i="13"/>
  <c r="X880" i="13"/>
  <c r="X876" i="13"/>
  <c r="X866" i="13"/>
  <c r="X892" i="13"/>
  <c r="X894" i="13"/>
  <c r="X891" i="13"/>
  <c r="X874" i="13"/>
  <c r="X921" i="13"/>
  <c r="X882" i="13"/>
  <c r="X885" i="13"/>
  <c r="X879" i="13"/>
  <c r="X56" i="13"/>
  <c r="X552" i="13"/>
  <c r="X143" i="13"/>
  <c r="X373" i="13"/>
  <c r="X444" i="13"/>
  <c r="X788" i="13"/>
  <c r="X574" i="13"/>
  <c r="X824" i="13"/>
  <c r="X374" i="13"/>
  <c r="X69" i="13"/>
  <c r="X818" i="13"/>
  <c r="X268" i="13"/>
  <c r="X57" i="13"/>
  <c r="X410" i="13"/>
  <c r="X290" i="13"/>
  <c r="X530" i="13"/>
  <c r="X618" i="13"/>
  <c r="X199" i="13"/>
  <c r="X456" i="13"/>
  <c r="X139" i="13"/>
  <c r="X43" i="13"/>
  <c r="X588" i="13"/>
  <c r="X498" i="13"/>
  <c r="X516" i="13"/>
  <c r="X560" i="13"/>
  <c r="X377" i="13"/>
  <c r="X433" i="13"/>
  <c r="X813" i="13"/>
  <c r="X822" i="13"/>
  <c r="X831" i="13"/>
  <c r="X849" i="13"/>
  <c r="X861" i="13"/>
  <c r="X260" i="13"/>
  <c r="X272" i="13"/>
  <c r="X365" i="13"/>
  <c r="X423" i="13"/>
  <c r="X102" i="13"/>
  <c r="X308" i="13"/>
  <c r="X431" i="13"/>
  <c r="X193" i="13"/>
  <c r="X205" i="13"/>
  <c r="X133" i="13"/>
  <c r="X68" i="13"/>
  <c r="X636" i="13"/>
  <c r="X285" i="13"/>
  <c r="X429" i="13"/>
  <c r="X208" i="13"/>
  <c r="X703" i="13"/>
  <c r="X362" i="13"/>
  <c r="X97" i="13"/>
  <c r="X44" i="13"/>
  <c r="X685" i="13"/>
  <c r="X629" i="13"/>
  <c r="X282" i="13"/>
  <c r="X104" i="13"/>
  <c r="X172" i="13"/>
  <c r="X240" i="13"/>
  <c r="X246" i="13"/>
  <c r="X642" i="13"/>
  <c r="X480" i="13"/>
  <c r="X630" i="13"/>
  <c r="X491" i="13"/>
  <c r="X73" i="13"/>
  <c r="X34" i="13"/>
  <c r="X678" i="13"/>
  <c r="X292" i="13"/>
  <c r="X578" i="13"/>
  <c r="X323" i="13"/>
  <c r="X353" i="13"/>
  <c r="X340" i="13"/>
  <c r="X718" i="13"/>
  <c r="X727" i="13"/>
  <c r="X736" i="13"/>
  <c r="X747" i="13"/>
  <c r="X759" i="13"/>
  <c r="X768" i="13"/>
  <c r="X777" i="13"/>
  <c r="X786" i="13"/>
  <c r="X795" i="13"/>
  <c r="X399" i="13"/>
  <c r="X84" i="13"/>
  <c r="X220" i="13"/>
  <c r="X816" i="13"/>
  <c r="X852" i="13"/>
  <c r="X266" i="13"/>
  <c r="X275" i="13"/>
  <c r="X136" i="13"/>
  <c r="X119" i="13"/>
  <c r="X490" i="13"/>
  <c r="X647" i="13"/>
  <c r="X648" i="13"/>
  <c r="X301" i="13"/>
  <c r="X187" i="13"/>
  <c r="X518" i="13"/>
  <c r="X779" i="13"/>
  <c r="X546" i="13"/>
  <c r="X63" i="13"/>
  <c r="X863" i="13"/>
  <c r="X564" i="13"/>
  <c r="X720" i="13"/>
  <c r="X219" i="13"/>
  <c r="X797" i="13"/>
  <c r="X45" i="13"/>
  <c r="X625" i="13"/>
  <c r="X509" i="13"/>
  <c r="X696" i="13"/>
  <c r="X338" i="13"/>
  <c r="X177" i="13"/>
  <c r="X291" i="13"/>
  <c r="X15" i="13"/>
  <c r="X612" i="13"/>
  <c r="X594" i="13"/>
  <c r="X504" i="13"/>
  <c r="X622" i="13"/>
  <c r="X331" i="13"/>
  <c r="X378" i="13"/>
  <c r="X415" i="13"/>
  <c r="X807" i="13"/>
  <c r="X825" i="13"/>
  <c r="X837" i="13"/>
  <c r="X864" i="13"/>
  <c r="X188" i="13"/>
  <c r="X355" i="13"/>
  <c r="X617" i="13"/>
  <c r="X684" i="13"/>
  <c r="X325" i="13"/>
  <c r="X223" i="13"/>
  <c r="X584" i="13"/>
  <c r="X566" i="13"/>
  <c r="X391" i="13"/>
  <c r="X32" i="13"/>
  <c r="X534" i="13"/>
  <c r="X528" i="13"/>
  <c r="X361" i="13"/>
  <c r="X302" i="13"/>
  <c r="X151" i="13"/>
  <c r="X122" i="13"/>
  <c r="X149" i="13"/>
  <c r="X9" i="13"/>
  <c r="X252" i="13"/>
  <c r="X49" i="13"/>
  <c r="X690" i="13"/>
  <c r="X557" i="13"/>
  <c r="X25" i="13"/>
  <c r="X55" i="13"/>
  <c r="X54" i="13"/>
  <c r="X489" i="13"/>
  <c r="X520" i="13"/>
  <c r="X359" i="13"/>
  <c r="X371" i="13"/>
  <c r="X460" i="13"/>
  <c r="X288" i="13"/>
  <c r="X721" i="13"/>
  <c r="X730" i="13"/>
  <c r="X741" i="13"/>
  <c r="X750" i="13"/>
  <c r="X762" i="13"/>
  <c r="X771" i="13"/>
  <c r="X780" i="13"/>
  <c r="X789" i="13"/>
  <c r="X798" i="13"/>
  <c r="X141" i="13"/>
  <c r="X641" i="13"/>
  <c r="X348" i="13"/>
  <c r="X337" i="13"/>
  <c r="X408" i="13"/>
  <c r="X600" i="13"/>
  <c r="X485" i="13"/>
  <c r="X536" i="13"/>
  <c r="X764" i="13"/>
  <c r="X332" i="13"/>
  <c r="X192" i="13"/>
  <c r="X466" i="13"/>
  <c r="X28" i="13"/>
  <c r="X660" i="13"/>
  <c r="X709" i="13"/>
  <c r="X582" i="13"/>
  <c r="X74" i="13"/>
  <c r="X815" i="13"/>
  <c r="X213" i="13"/>
  <c r="X21" i="13"/>
  <c r="X559" i="13"/>
  <c r="X75" i="13"/>
  <c r="X672" i="13"/>
  <c r="X639" i="13"/>
  <c r="X300" i="13"/>
  <c r="X482" i="13"/>
  <c r="X510" i="13"/>
  <c r="X606" i="13"/>
  <c r="X417" i="13"/>
  <c r="X317" i="13"/>
  <c r="X810" i="13"/>
  <c r="X819" i="13"/>
  <c r="X828" i="13"/>
  <c r="X840" i="13"/>
  <c r="X858" i="13"/>
  <c r="X257" i="13"/>
  <c r="X269" i="13"/>
  <c r="X329" i="13"/>
  <c r="X176" i="13"/>
  <c r="X81" i="13"/>
  <c r="X126" i="13"/>
  <c r="X426" i="13"/>
  <c r="X228" i="13"/>
  <c r="X483" i="13"/>
  <c r="X590" i="13"/>
  <c r="X706" i="13"/>
  <c r="X744" i="13"/>
  <c r="X774" i="13"/>
  <c r="X801" i="13"/>
  <c r="X189" i="13"/>
  <c r="X125" i="13"/>
  <c r="X190" i="13"/>
  <c r="X31" i="13"/>
  <c r="X196" i="13"/>
  <c r="X576" i="13"/>
  <c r="X393" i="13"/>
  <c r="X733" i="13"/>
  <c r="X765" i="13"/>
  <c r="X792" i="13"/>
  <c r="X440" i="13"/>
  <c r="X575" i="13"/>
  <c r="X503" i="13"/>
  <c r="X438" i="13"/>
  <c r="X538" i="13"/>
  <c r="X667" i="13"/>
  <c r="X234" i="13"/>
  <c r="X474" i="13"/>
  <c r="X411" i="13"/>
  <c r="X724" i="13"/>
  <c r="X753" i="13"/>
  <c r="X783" i="13"/>
  <c r="X194" i="13"/>
  <c r="X121" i="13"/>
  <c r="X604" i="13"/>
  <c r="X146" i="13"/>
  <c r="X676" i="13"/>
  <c r="X349" i="13"/>
  <c r="X653" i="13"/>
  <c r="X20" i="13"/>
  <c r="X382" i="13"/>
  <c r="X368" i="13"/>
  <c r="X715" i="13"/>
  <c r="X581" i="13"/>
  <c r="X110" i="13"/>
  <c r="X305" i="13"/>
  <c r="X13" i="13"/>
  <c r="X150" i="13"/>
  <c r="X320" i="13"/>
  <c r="X500" i="13"/>
  <c r="X8" i="13"/>
  <c r="X293" i="13"/>
  <c r="X665" i="13"/>
  <c r="X372" i="13"/>
  <c r="X515" i="13"/>
  <c r="X109" i="13"/>
  <c r="X507" i="13"/>
  <c r="X682" i="13"/>
  <c r="X527" i="13"/>
  <c r="X512" i="13"/>
  <c r="X249" i="13"/>
  <c r="X152" i="13"/>
  <c r="X386" i="13"/>
  <c r="X92" i="13"/>
  <c r="X286" i="13"/>
  <c r="X316" i="13"/>
  <c r="X541" i="13"/>
  <c r="X652" i="13"/>
  <c r="X135" i="13"/>
  <c r="X174" i="13"/>
  <c r="X231" i="13"/>
  <c r="X352" i="13"/>
  <c r="X732" i="13"/>
  <c r="X225" i="13"/>
  <c r="X287" i="13"/>
  <c r="X565" i="13"/>
  <c r="X589" i="13"/>
  <c r="X738" i="13"/>
  <c r="X64" i="13"/>
  <c r="X860" i="13"/>
  <c r="X714" i="13"/>
  <c r="X138" i="13"/>
  <c r="X508" i="13"/>
  <c r="X595" i="13"/>
  <c r="X50" i="13"/>
  <c r="X86" i="13"/>
  <c r="X743" i="13"/>
  <c r="X666" i="13"/>
  <c r="X637" i="13"/>
  <c r="X661" i="13"/>
  <c r="X502" i="13"/>
  <c r="X619" i="13"/>
  <c r="X514" i="13"/>
  <c r="X255" i="13"/>
  <c r="X802" i="13"/>
  <c r="X722" i="13"/>
  <c r="X59" i="13"/>
  <c r="X598" i="13"/>
  <c r="X111" i="13"/>
  <c r="X424" i="13"/>
  <c r="X311" i="13"/>
  <c r="X692" i="13"/>
  <c r="X693" i="13"/>
  <c r="X700" i="13"/>
  <c r="X65" i="13"/>
  <c r="X435" i="13"/>
  <c r="X820" i="13"/>
  <c r="X173" i="13"/>
  <c r="X85" i="13"/>
  <c r="X453" i="13"/>
  <c r="X402" i="13"/>
  <c r="X862" i="13"/>
  <c r="X835" i="13"/>
  <c r="X808" i="13"/>
  <c r="X781" i="13"/>
  <c r="X754" i="13"/>
  <c r="X728" i="13"/>
  <c r="X400" i="13"/>
  <c r="X58" i="13"/>
  <c r="X475" i="13"/>
  <c r="X5" i="13"/>
  <c r="X731" i="13"/>
  <c r="X481" i="13"/>
  <c r="X384" i="13"/>
  <c r="X52" i="13"/>
  <c r="X493" i="13"/>
  <c r="X41" i="13"/>
  <c r="X847" i="13"/>
  <c r="X175" i="13"/>
  <c r="X387" i="13"/>
  <c r="X450" i="13"/>
  <c r="X258" i="13"/>
  <c r="X841" i="13"/>
  <c r="X814" i="13"/>
  <c r="X787" i="13"/>
  <c r="X760" i="13"/>
  <c r="X734" i="13"/>
  <c r="X277" i="13"/>
  <c r="X687" i="13"/>
  <c r="X698" i="13"/>
  <c r="X492" i="13"/>
  <c r="X24" i="13"/>
  <c r="X53" i="13"/>
  <c r="X487" i="13"/>
  <c r="X202" i="13"/>
  <c r="X145" i="13"/>
  <c r="X123" i="13"/>
  <c r="X447" i="13"/>
  <c r="X142" i="13"/>
  <c r="X486" i="13"/>
  <c r="X17" i="13"/>
  <c r="X244" i="13"/>
  <c r="X40" i="13"/>
  <c r="X519" i="13"/>
  <c r="X82" i="13"/>
  <c r="X524" i="13"/>
  <c r="X558" i="13"/>
  <c r="X441" i="13"/>
  <c r="X505" i="13"/>
  <c r="X525" i="13"/>
  <c r="X341" i="13"/>
  <c r="X416" i="13"/>
  <c r="X848" i="13"/>
  <c r="X401" i="13"/>
  <c r="X803" i="13"/>
  <c r="X16" i="13"/>
  <c r="X279" i="13"/>
  <c r="X182" i="13"/>
  <c r="X321" i="13"/>
  <c r="X7" i="13"/>
  <c r="X740" i="13"/>
  <c r="X217" i="13"/>
  <c r="X523" i="13"/>
  <c r="X367" i="13"/>
  <c r="X342" i="13"/>
  <c r="X284" i="13"/>
  <c r="X707" i="13"/>
  <c r="X330" i="13"/>
  <c r="X360" i="13"/>
  <c r="X306" i="13"/>
  <c r="X437" i="13"/>
  <c r="X295" i="13"/>
  <c r="X455" i="13"/>
  <c r="X243" i="13"/>
  <c r="X628" i="13"/>
  <c r="X218" i="13"/>
  <c r="X214" i="13"/>
  <c r="X599" i="13"/>
  <c r="X635" i="13"/>
  <c r="X313" i="13"/>
  <c r="X834" i="13"/>
  <c r="X79" i="13"/>
  <c r="X101" i="13"/>
  <c r="X513" i="13"/>
  <c r="X398" i="13"/>
  <c r="X531" i="13"/>
  <c r="X494" i="13"/>
  <c r="X543" i="13"/>
  <c r="X404" i="13"/>
  <c r="X488" i="13"/>
  <c r="X294" i="13"/>
  <c r="X699" i="13"/>
  <c r="X484" i="13"/>
  <c r="X278" i="13"/>
  <c r="X395" i="13"/>
  <c r="X452" i="13"/>
  <c r="X36" i="13"/>
  <c r="X501" i="13"/>
  <c r="X702" i="13"/>
  <c r="X845" i="13"/>
  <c r="X806" i="13"/>
  <c r="X550" i="13"/>
  <c r="X137" i="13"/>
  <c r="X562" i="13"/>
  <c r="X88" i="13"/>
  <c r="X229" i="13"/>
  <c r="X467" i="13"/>
  <c r="X785" i="13"/>
  <c r="X854" i="13"/>
  <c r="X776" i="13"/>
  <c r="X755" i="13"/>
  <c r="X746" i="13"/>
  <c r="X100" i="13"/>
  <c r="X195" i="13"/>
  <c r="X147" i="13"/>
  <c r="X158" i="13"/>
  <c r="X529" i="13"/>
  <c r="X307" i="13"/>
  <c r="X592" i="13"/>
  <c r="X479" i="13"/>
  <c r="X767" i="13"/>
  <c r="X124" i="13"/>
  <c r="X210" i="13"/>
  <c r="X735" i="13"/>
  <c r="X380" i="13"/>
  <c r="X655" i="13"/>
  <c r="X22" i="13"/>
  <c r="X248" i="13"/>
  <c r="X129" i="13"/>
  <c r="X556" i="13"/>
  <c r="X242" i="13"/>
  <c r="X315" i="13"/>
  <c r="X644" i="13"/>
  <c r="X442" i="13"/>
  <c r="X596" i="13"/>
  <c r="X197" i="13"/>
  <c r="X106" i="13"/>
  <c r="X638" i="13"/>
  <c r="X327" i="13"/>
  <c r="X180" i="13"/>
  <c r="X105" i="13"/>
  <c r="X375" i="13"/>
  <c r="X303" i="13"/>
  <c r="X297" i="13"/>
  <c r="X83" i="13"/>
  <c r="X254" i="13"/>
  <c r="X775" i="13"/>
  <c r="X859" i="13"/>
  <c r="X832" i="13"/>
  <c r="X778" i="13"/>
  <c r="X751" i="13"/>
  <c r="X725" i="13"/>
  <c r="X656" i="13"/>
  <c r="X657" i="13"/>
  <c r="X47" i="13"/>
  <c r="X23" i="13"/>
  <c r="X169" i="13"/>
  <c r="X680" i="13"/>
  <c r="X309" i="13"/>
  <c r="X829" i="13"/>
  <c r="X397" i="13"/>
  <c r="X206" i="13"/>
  <c r="X113" i="13"/>
  <c r="X704" i="13"/>
  <c r="X506" i="13"/>
  <c r="X446" i="13"/>
  <c r="X705" i="13"/>
  <c r="X144" i="13"/>
  <c r="X116" i="13"/>
  <c r="X363" i="13"/>
  <c r="X608" i="13"/>
  <c r="X140" i="13"/>
  <c r="X458" i="13"/>
  <c r="X640" i="13"/>
  <c r="X12" i="13"/>
  <c r="X245" i="13"/>
  <c r="X296" i="13"/>
  <c r="X609" i="13"/>
  <c r="X549" i="13"/>
  <c r="X627" i="13"/>
  <c r="X78" i="13"/>
  <c r="X613" i="13"/>
  <c r="X312" i="13"/>
  <c r="X328" i="13"/>
  <c r="X603" i="13"/>
  <c r="X691" i="13"/>
  <c r="X804" i="13"/>
  <c r="X222" i="13"/>
  <c r="X204" i="13"/>
  <c r="X134" i="13"/>
  <c r="X443" i="13"/>
  <c r="X26" i="13"/>
  <c r="X170" i="13"/>
  <c r="X420" i="13"/>
  <c r="X364" i="13"/>
  <c r="X334" i="13"/>
  <c r="X471" i="13"/>
  <c r="X299" i="13"/>
  <c r="X108" i="13"/>
  <c r="X376" i="13"/>
  <c r="X37" i="13"/>
  <c r="X681" i="13"/>
  <c r="X344" i="13"/>
  <c r="X723" i="13"/>
  <c r="X449" i="13"/>
  <c r="X370" i="13"/>
  <c r="X580" i="13"/>
  <c r="X855" i="13"/>
  <c r="X98" i="13"/>
  <c r="X62" i="13"/>
  <c r="X827" i="13"/>
  <c r="X42" i="13"/>
  <c r="X545" i="13"/>
  <c r="X237" i="13"/>
  <c r="X567" i="13"/>
  <c r="X186" i="13"/>
  <c r="X839" i="13"/>
  <c r="X535" i="13"/>
  <c r="X283" i="13"/>
  <c r="X679" i="13"/>
  <c r="X80" i="13"/>
  <c r="X262" i="13"/>
  <c r="X407" i="13"/>
  <c r="X51" i="13"/>
  <c r="X90" i="13"/>
  <c r="X326" i="13"/>
  <c r="X350" i="13"/>
  <c r="X671" i="13"/>
  <c r="X379" i="13"/>
  <c r="X383" i="13"/>
  <c r="X726" i="13"/>
  <c r="X673" i="13"/>
  <c r="X553" i="13"/>
  <c r="X14" i="13"/>
  <c r="X27" i="13"/>
  <c r="X496" i="13"/>
  <c r="X838" i="13"/>
  <c r="X784" i="13"/>
  <c r="X597" i="13"/>
  <c r="X540" i="13"/>
  <c r="X469" i="13"/>
  <c r="X96" i="13"/>
  <c r="X405" i="13"/>
  <c r="X310" i="13"/>
  <c r="X651" i="13"/>
  <c r="X662" i="13"/>
  <c r="X76" i="13"/>
  <c r="X517" i="13"/>
  <c r="X35" i="13"/>
  <c r="X757" i="13"/>
  <c r="X155" i="13"/>
  <c r="X114" i="13"/>
  <c r="X270" i="13"/>
  <c r="X853" i="13"/>
  <c r="X826" i="13"/>
  <c r="X799" i="13"/>
  <c r="X772" i="13"/>
  <c r="X745" i="13"/>
  <c r="X719" i="13"/>
  <c r="X686" i="13"/>
  <c r="X591" i="13"/>
  <c r="X29" i="13"/>
  <c r="X232" i="13"/>
  <c r="X793" i="13"/>
  <c r="X713" i="13"/>
  <c r="X663" i="13"/>
  <c r="X388" i="13"/>
  <c r="X645" i="13"/>
  <c r="X537" i="13"/>
  <c r="X250" i="13"/>
  <c r="X273" i="13"/>
  <c r="X200" i="13"/>
  <c r="X462" i="13"/>
  <c r="X276" i="13"/>
  <c r="X805" i="13"/>
  <c r="X710" i="13"/>
  <c r="X46" i="13"/>
  <c r="X6" i="13"/>
  <c r="X164" i="13"/>
  <c r="X406" i="13"/>
  <c r="X674" i="13"/>
  <c r="X464" i="13"/>
  <c r="X593" i="13"/>
  <c r="X539" i="13"/>
  <c r="X445" i="13"/>
  <c r="X756" i="13"/>
  <c r="X70" i="13"/>
  <c r="X821" i="13"/>
  <c r="X39" i="13"/>
  <c r="X842" i="13"/>
  <c r="X160" i="13"/>
  <c r="X812" i="13"/>
  <c r="X207" i="13"/>
  <c r="X253" i="13"/>
  <c r="X167" i="13"/>
  <c r="X614" i="13"/>
  <c r="X701" i="13"/>
  <c r="X185" i="13"/>
  <c r="X620" i="13"/>
  <c r="X632" i="13"/>
  <c r="X281" i="13"/>
  <c r="X181" i="13"/>
  <c r="X354" i="13"/>
  <c r="X318" i="13"/>
  <c r="X130" i="13"/>
  <c r="X561" i="13"/>
  <c r="X385" i="13"/>
  <c r="X611" i="13"/>
  <c r="X677" i="13"/>
  <c r="X547" i="13"/>
  <c r="X623" i="13"/>
  <c r="X157" i="13"/>
  <c r="X551" i="13"/>
  <c r="X67" i="13"/>
  <c r="X712" i="13"/>
  <c r="X358" i="13"/>
  <c r="X154" i="13"/>
  <c r="X563" i="13"/>
  <c r="X683" i="13"/>
  <c r="X132" i="13"/>
  <c r="X319" i="13"/>
  <c r="X664" i="13"/>
  <c r="X421" i="13"/>
  <c r="X366" i="13"/>
  <c r="X610" i="13"/>
  <c r="X343" i="13"/>
  <c r="X161" i="13"/>
  <c r="X669" i="13"/>
  <c r="X221" i="13"/>
  <c r="X120" i="13"/>
  <c r="X533" i="13"/>
  <c r="X631" i="13"/>
  <c r="X403" i="13"/>
  <c r="X695" i="13"/>
  <c r="X115" i="13"/>
  <c r="X419" i="13"/>
  <c r="X461" i="13"/>
  <c r="X72" i="13"/>
  <c r="X434" i="13"/>
  <c r="X649" i="13"/>
  <c r="X422" i="13"/>
  <c r="X322" i="13"/>
  <c r="X532" i="13"/>
  <c r="X425" i="13"/>
  <c r="X857" i="13"/>
  <c r="X201" i="13"/>
  <c r="X356" i="13"/>
  <c r="X729" i="13"/>
  <c r="X800" i="13"/>
  <c r="X289" i="13"/>
  <c r="X526" i="13"/>
  <c r="X314" i="13"/>
  <c r="X836" i="13"/>
  <c r="X166" i="13"/>
  <c r="X571" i="13"/>
  <c r="X212" i="13"/>
  <c r="X472" i="13"/>
  <c r="X643" i="13"/>
  <c r="X128" i="13"/>
  <c r="X256" i="13"/>
  <c r="X773" i="13"/>
  <c r="X554" i="13"/>
  <c r="X544" i="13"/>
  <c r="X216" i="13"/>
  <c r="X770" i="13"/>
  <c r="X717" i="13"/>
  <c r="X830" i="13"/>
  <c r="X94" i="13"/>
  <c r="X448" i="13"/>
  <c r="X198" i="13"/>
  <c r="X626" i="13"/>
  <c r="X542" i="13"/>
  <c r="X381" i="13"/>
  <c r="X418" i="13"/>
  <c r="X369" i="13"/>
  <c r="X10" i="13"/>
  <c r="X162" i="13"/>
  <c r="X215" i="13"/>
  <c r="X153" i="13"/>
  <c r="X230" i="13"/>
  <c r="X394" i="13"/>
  <c r="X454" i="13"/>
  <c r="X339" i="13"/>
  <c r="X357" i="13"/>
  <c r="X345" i="13"/>
  <c r="X112" i="13"/>
  <c r="X93" i="13"/>
  <c r="X409" i="13"/>
  <c r="X846" i="13"/>
  <c r="X179" i="13"/>
  <c r="X241" i="13"/>
  <c r="X324" i="13"/>
  <c r="X476" i="13"/>
  <c r="X413" i="13"/>
  <c r="X61" i="13"/>
  <c r="X605" i="13"/>
  <c r="X263" i="13"/>
  <c r="X477" i="13"/>
  <c r="X183" i="13"/>
  <c r="X335" i="13"/>
  <c r="X148" i="13"/>
  <c r="X396" i="13"/>
  <c r="X569" i="13"/>
  <c r="X459" i="13"/>
  <c r="X346" i="13"/>
  <c r="X159" i="13"/>
  <c r="X851" i="13"/>
  <c r="X271" i="13"/>
  <c r="X77" i="13"/>
  <c r="X782" i="13"/>
  <c r="X794" i="13"/>
  <c r="X697" i="13"/>
  <c r="X749" i="13"/>
  <c r="X351" i="13"/>
  <c r="X236" i="13"/>
  <c r="X586" i="13"/>
  <c r="X436" i="13"/>
  <c r="X19" i="13"/>
  <c r="X298" i="13"/>
  <c r="X843" i="13"/>
  <c r="X624" i="13"/>
  <c r="X156" i="13"/>
  <c r="X465" i="13"/>
  <c r="X60" i="13"/>
  <c r="X495" i="13"/>
  <c r="X239" i="13"/>
  <c r="X30" i="13"/>
  <c r="X168" i="13"/>
  <c r="X178" i="13"/>
  <c r="X18" i="13"/>
  <c r="X336" i="13"/>
  <c r="X478" i="13"/>
  <c r="X304" i="13"/>
  <c r="X127" i="13"/>
  <c r="X470" i="13"/>
  <c r="X457" i="13"/>
  <c r="X497" i="13"/>
  <c r="X95" i="13"/>
  <c r="X607" i="13"/>
  <c r="X191" i="13"/>
  <c r="X585" i="13"/>
  <c r="X48" i="13"/>
  <c r="X91" i="13"/>
  <c r="X211" i="13"/>
  <c r="X621" i="13"/>
  <c r="X675" i="13"/>
  <c r="X670" i="13"/>
  <c r="X103" i="13"/>
  <c r="X521" i="13"/>
  <c r="X347" i="13"/>
  <c r="X587" i="13"/>
  <c r="X251" i="13"/>
  <c r="X451" i="13"/>
  <c r="X601" i="13"/>
  <c r="X33" i="13"/>
  <c r="X577" i="13"/>
  <c r="X131" i="13"/>
  <c r="X809" i="13"/>
  <c r="X392" i="13"/>
  <c r="X165" i="13"/>
  <c r="X572" i="13"/>
  <c r="X247" i="13"/>
  <c r="X708" i="13"/>
  <c r="X654" i="13"/>
  <c r="X711" i="13"/>
  <c r="X758" i="13"/>
  <c r="X209" i="13"/>
  <c r="X171" i="13"/>
  <c r="X761" i="13"/>
  <c r="X389" i="13"/>
  <c r="X473" i="13"/>
  <c r="X163" i="13"/>
  <c r="X38" i="13"/>
  <c r="X583" i="13"/>
  <c r="X811" i="13"/>
  <c r="X748" i="13"/>
  <c r="X468" i="13"/>
  <c r="X616" i="13"/>
  <c r="X522" i="13"/>
  <c r="X238" i="13"/>
  <c r="X117" i="13"/>
  <c r="X430" i="13"/>
  <c r="X414" i="13"/>
  <c r="X390" i="13"/>
  <c r="X633" i="13"/>
  <c r="X646" i="13"/>
  <c r="X499" i="13"/>
  <c r="X11" i="13"/>
  <c r="X264" i="13"/>
  <c r="X203" i="13"/>
  <c r="X87" i="13"/>
  <c r="X99" i="13"/>
  <c r="X261" i="13"/>
  <c r="X844" i="13"/>
  <c r="X817" i="13"/>
  <c r="X790" i="13"/>
  <c r="X763" i="13"/>
  <c r="X737" i="13"/>
  <c r="X573" i="13"/>
  <c r="X766" i="13"/>
  <c r="X412" i="13"/>
  <c r="X555" i="13"/>
  <c r="X224" i="13"/>
  <c r="X226" i="13"/>
  <c r="X615" i="13"/>
  <c r="X511" i="13"/>
  <c r="X463" i="13"/>
  <c r="X89" i="13"/>
  <c r="X856" i="13"/>
  <c r="X107" i="13"/>
  <c r="X427" i="13"/>
  <c r="X432" i="13"/>
  <c r="X267" i="13"/>
  <c r="X850" i="13"/>
  <c r="X823" i="13"/>
  <c r="X796" i="13"/>
  <c r="X769" i="13"/>
  <c r="X742" i="13"/>
  <c r="X716" i="13"/>
  <c r="X650" i="13"/>
  <c r="X634" i="13"/>
  <c r="X71" i="13"/>
  <c r="X668" i="13"/>
  <c r="X184" i="13"/>
  <c r="X439" i="13"/>
  <c r="X659" i="13"/>
  <c r="X233" i="13"/>
  <c r="X658" i="13"/>
  <c r="X688" i="13"/>
  <c r="X689" i="13"/>
  <c r="X570" i="13"/>
  <c r="X579" i="13"/>
  <c r="X694" i="13"/>
  <c r="X265" i="13"/>
  <c r="X833" i="13"/>
  <c r="X259" i="13"/>
  <c r="X66" i="13"/>
  <c r="X428" i="13"/>
  <c r="X235" i="13"/>
  <c r="X791" i="13"/>
  <c r="X548" i="13"/>
  <c r="X274" i="13"/>
  <c r="X752" i="13"/>
  <c r="X333" i="13"/>
  <c r="X602" i="13"/>
  <c r="X280" i="13"/>
  <c r="X118" i="13"/>
  <c r="X568" i="13"/>
  <c r="AD919" i="13"/>
  <c r="AD917" i="13"/>
  <c r="AD915" i="13"/>
  <c r="AD913" i="13"/>
  <c r="AD911" i="13"/>
  <c r="AD909" i="13"/>
  <c r="AD907" i="13"/>
  <c r="AD905" i="13"/>
  <c r="AD903" i="13"/>
  <c r="AD901" i="13"/>
  <c r="AD899" i="13"/>
  <c r="AD897" i="13"/>
  <c r="AD895" i="13"/>
  <c r="AD896" i="13"/>
  <c r="AD920" i="13"/>
  <c r="AD918" i="13"/>
  <c r="AD916" i="13"/>
  <c r="AD914" i="13"/>
  <c r="AD912" i="13"/>
  <c r="AD910" i="13"/>
  <c r="AD908" i="13"/>
  <c r="AD906" i="13"/>
  <c r="AD904" i="13"/>
  <c r="AD902" i="13"/>
  <c r="AD900" i="13"/>
  <c r="AD898" i="13"/>
  <c r="AD921" i="13"/>
  <c r="AD893" i="13"/>
  <c r="AD891" i="13"/>
  <c r="AD889" i="13"/>
  <c r="AD887" i="13"/>
  <c r="AD885" i="13"/>
  <c r="AD883" i="13"/>
  <c r="AD881" i="13"/>
  <c r="AD879" i="13"/>
  <c r="AD877" i="13"/>
  <c r="AD875" i="13"/>
  <c r="AD873" i="13"/>
  <c r="AD871" i="13"/>
  <c r="AD869" i="13"/>
  <c r="AG869" i="13" s="1"/>
  <c r="AD867" i="13"/>
  <c r="AD865" i="13"/>
  <c r="AD892" i="13"/>
  <c r="AD878" i="13"/>
  <c r="AD866" i="13"/>
  <c r="AD880" i="13"/>
  <c r="AD874" i="13"/>
  <c r="AD870" i="13"/>
  <c r="AD894" i="13"/>
  <c r="AD890" i="13"/>
  <c r="AD888" i="13"/>
  <c r="AD886" i="13"/>
  <c r="AD884" i="13"/>
  <c r="AD882" i="13"/>
  <c r="AD876" i="13"/>
  <c r="AD872" i="13"/>
  <c r="AD868" i="13"/>
  <c r="AD226" i="13"/>
  <c r="AD224" i="13"/>
  <c r="AD222" i="13"/>
  <c r="AD220" i="13"/>
  <c r="AD218" i="13"/>
  <c r="AD216" i="13"/>
  <c r="AD214" i="13"/>
  <c r="AD212" i="13"/>
  <c r="AD210" i="13"/>
  <c r="AD208" i="13"/>
  <c r="AD206" i="13"/>
  <c r="AD204" i="13"/>
  <c r="AD202" i="13"/>
  <c r="AD200" i="13"/>
  <c r="AD198" i="13"/>
  <c r="AD196" i="13"/>
  <c r="AD194" i="13"/>
  <c r="AD192" i="13"/>
  <c r="AD190" i="13"/>
  <c r="AD188" i="13"/>
  <c r="AD186" i="13"/>
  <c r="AD184" i="13"/>
  <c r="AD182" i="13"/>
  <c r="AD180" i="13"/>
  <c r="AD178" i="13"/>
  <c r="AD176" i="13"/>
  <c r="AD174" i="13"/>
  <c r="AD172" i="13"/>
  <c r="AD170" i="13"/>
  <c r="AD168" i="13"/>
  <c r="AD166" i="13"/>
  <c r="AD164" i="13"/>
  <c r="AD162" i="13"/>
  <c r="AD160" i="13"/>
  <c r="AD158" i="13"/>
  <c r="AD156" i="13"/>
  <c r="AD154" i="13"/>
  <c r="AD152" i="13"/>
  <c r="AD150" i="13"/>
  <c r="AD148" i="13"/>
  <c r="AD146" i="13"/>
  <c r="AD144" i="13"/>
  <c r="AD142" i="13"/>
  <c r="AD140" i="13"/>
  <c r="AD138" i="13"/>
  <c r="AD136" i="13"/>
  <c r="AD134" i="13"/>
  <c r="AD132" i="13"/>
  <c r="AD130" i="13"/>
  <c r="AD128" i="13"/>
  <c r="AD126" i="13"/>
  <c r="AD124" i="13"/>
  <c r="AD122" i="13"/>
  <c r="AD120" i="13"/>
  <c r="AD118" i="13"/>
  <c r="AD116" i="13"/>
  <c r="AD114" i="13"/>
  <c r="AD112" i="13"/>
  <c r="AD110" i="13"/>
  <c r="AD108" i="13"/>
  <c r="AD106" i="13"/>
  <c r="AD104" i="13"/>
  <c r="AD102" i="13"/>
  <c r="AD100" i="13"/>
  <c r="AD98" i="13"/>
  <c r="AD96" i="13"/>
  <c r="AD94" i="13"/>
  <c r="AD92" i="13"/>
  <c r="AD90" i="13"/>
  <c r="AD88" i="13"/>
  <c r="AD86" i="13"/>
  <c r="AD84" i="13"/>
  <c r="AD82" i="13"/>
  <c r="AD80" i="13"/>
  <c r="AD78" i="13"/>
  <c r="AD462" i="13"/>
  <c r="AD460" i="13"/>
  <c r="AD458" i="13"/>
  <c r="AD456" i="13"/>
  <c r="AD454" i="13"/>
  <c r="AD452" i="13"/>
  <c r="AD450" i="13"/>
  <c r="AD448" i="13"/>
  <c r="AD446" i="13"/>
  <c r="AD444" i="13"/>
  <c r="AD225" i="13"/>
  <c r="AD223" i="13"/>
  <c r="AD221" i="13"/>
  <c r="AD219" i="13"/>
  <c r="AD217" i="13"/>
  <c r="AD215" i="13"/>
  <c r="AD213" i="13"/>
  <c r="AD211" i="13"/>
  <c r="AD209" i="13"/>
  <c r="AD207" i="13"/>
  <c r="AD205" i="13"/>
  <c r="AD203" i="13"/>
  <c r="AD201" i="13"/>
  <c r="AD199" i="13"/>
  <c r="AD197" i="13"/>
  <c r="AD195" i="13"/>
  <c r="AD193" i="13"/>
  <c r="AD191" i="13"/>
  <c r="AD189" i="13"/>
  <c r="AD187" i="13"/>
  <c r="AD185" i="13"/>
  <c r="AD179" i="13"/>
  <c r="AD167" i="13"/>
  <c r="AD155" i="13"/>
  <c r="AD143" i="13"/>
  <c r="AD131" i="13"/>
  <c r="AD119" i="13"/>
  <c r="AD107" i="13"/>
  <c r="AD95" i="13"/>
  <c r="AD83" i="13"/>
  <c r="AD457" i="13"/>
  <c r="AD445" i="13"/>
  <c r="AD181" i="13"/>
  <c r="AD169" i="13"/>
  <c r="AD157" i="13"/>
  <c r="AD145" i="13"/>
  <c r="AD133" i="13"/>
  <c r="AG133" i="13" s="1"/>
  <c r="AD121" i="13"/>
  <c r="AD109" i="13"/>
  <c r="AD97" i="13"/>
  <c r="AD85" i="13"/>
  <c r="AD459" i="13"/>
  <c r="AD447" i="13"/>
  <c r="AD183" i="13"/>
  <c r="AD171" i="13"/>
  <c r="AD159" i="13"/>
  <c r="AD147" i="13"/>
  <c r="AD135" i="13"/>
  <c r="AD123" i="13"/>
  <c r="AD111" i="13"/>
  <c r="AD99" i="13"/>
  <c r="AD87" i="13"/>
  <c r="AD461" i="13"/>
  <c r="AD449" i="13"/>
  <c r="AD442" i="13"/>
  <c r="AD440" i="13"/>
  <c r="AD438" i="13"/>
  <c r="AD436" i="13"/>
  <c r="AD434" i="13"/>
  <c r="AD432" i="13"/>
  <c r="AD430" i="13"/>
  <c r="AD428" i="13"/>
  <c r="AD426" i="13"/>
  <c r="AD424" i="13"/>
  <c r="AD422" i="13"/>
  <c r="AD420" i="13"/>
  <c r="AD418" i="13"/>
  <c r="AD416" i="13"/>
  <c r="AD414" i="13"/>
  <c r="AD412" i="13"/>
  <c r="AD410" i="13"/>
  <c r="AD408" i="13"/>
  <c r="AG408" i="13" s="1"/>
  <c r="AD406" i="13"/>
  <c r="AD404" i="13"/>
  <c r="AD402" i="13"/>
  <c r="AD400" i="13"/>
  <c r="AD398" i="13"/>
  <c r="AD396" i="13"/>
  <c r="AD394" i="13"/>
  <c r="AD392" i="13"/>
  <c r="AD390" i="13"/>
  <c r="AD388" i="13"/>
  <c r="AD386" i="13"/>
  <c r="AD384" i="13"/>
  <c r="AD382" i="13"/>
  <c r="AD380" i="13"/>
  <c r="AD378" i="13"/>
  <c r="AD376" i="13"/>
  <c r="AD374" i="13"/>
  <c r="AD372" i="13"/>
  <c r="AD370" i="13"/>
  <c r="AD368" i="13"/>
  <c r="AD366" i="13"/>
  <c r="AD364" i="13"/>
  <c r="AD362" i="13"/>
  <c r="AD360" i="13"/>
  <c r="AD358" i="13"/>
  <c r="AD356" i="13"/>
  <c r="AD354" i="13"/>
  <c r="AD352" i="13"/>
  <c r="AD350" i="13"/>
  <c r="AD348" i="13"/>
  <c r="AD346" i="13"/>
  <c r="AD344" i="13"/>
  <c r="AD342" i="13"/>
  <c r="AD340" i="13"/>
  <c r="AD338" i="13"/>
  <c r="AD336" i="13"/>
  <c r="AD334" i="13"/>
  <c r="AD332" i="13"/>
  <c r="AD330" i="13"/>
  <c r="AD328" i="13"/>
  <c r="AD326" i="13"/>
  <c r="AD324" i="13"/>
  <c r="AD322" i="13"/>
  <c r="AD320" i="13"/>
  <c r="AD318" i="13"/>
  <c r="AD316" i="13"/>
  <c r="AD314" i="13"/>
  <c r="AD312" i="13"/>
  <c r="AD310" i="13"/>
  <c r="AD308" i="13"/>
  <c r="AD306" i="13"/>
  <c r="AD304" i="13"/>
  <c r="AD302" i="13"/>
  <c r="AD300" i="13"/>
  <c r="AD298" i="13"/>
  <c r="AD173" i="13"/>
  <c r="AD161" i="13"/>
  <c r="AD149" i="13"/>
  <c r="AD137" i="13"/>
  <c r="AD125" i="13"/>
  <c r="AD113" i="13"/>
  <c r="AD101" i="13"/>
  <c r="AD89" i="13"/>
  <c r="AD77" i="13"/>
  <c r="AD451" i="13"/>
  <c r="AD175" i="13"/>
  <c r="AD163" i="13"/>
  <c r="AD151" i="13"/>
  <c r="AD139" i="13"/>
  <c r="AD127" i="13"/>
  <c r="AD129" i="13"/>
  <c r="AD115" i="13"/>
  <c r="AD79" i="13"/>
  <c r="AD117" i="13"/>
  <c r="AD81" i="13"/>
  <c r="AD435" i="13"/>
  <c r="AD423" i="13"/>
  <c r="AD411" i="13"/>
  <c r="AD399" i="13"/>
  <c r="AD387" i="13"/>
  <c r="AD375" i="13"/>
  <c r="AD363" i="13"/>
  <c r="AD351" i="13"/>
  <c r="AD339" i="13"/>
  <c r="AD327" i="13"/>
  <c r="AD315" i="13"/>
  <c r="AD303" i="13"/>
  <c r="AD296" i="13"/>
  <c r="AD294" i="13"/>
  <c r="AD292" i="13"/>
  <c r="AD290" i="13"/>
  <c r="AD288" i="13"/>
  <c r="AD286" i="13"/>
  <c r="AD284" i="13"/>
  <c r="AD282" i="13"/>
  <c r="AD280" i="13"/>
  <c r="AD278" i="13"/>
  <c r="AD276" i="13"/>
  <c r="AD274" i="13"/>
  <c r="AD272" i="13"/>
  <c r="AD270" i="13"/>
  <c r="AD268" i="13"/>
  <c r="AD266" i="13"/>
  <c r="AD264" i="13"/>
  <c r="AD262" i="13"/>
  <c r="AD260" i="13"/>
  <c r="AD258" i="13"/>
  <c r="AD256" i="13"/>
  <c r="AD864" i="13"/>
  <c r="AD862" i="13"/>
  <c r="AD860" i="13"/>
  <c r="AD858" i="13"/>
  <c r="AD856" i="13"/>
  <c r="AD854" i="13"/>
  <c r="AD852" i="13"/>
  <c r="AD850" i="13"/>
  <c r="AD848" i="13"/>
  <c r="AD846" i="13"/>
  <c r="AD844" i="13"/>
  <c r="AD842" i="13"/>
  <c r="AD840" i="13"/>
  <c r="AD838" i="13"/>
  <c r="AD836" i="13"/>
  <c r="AD834" i="13"/>
  <c r="AD832" i="13"/>
  <c r="AD830" i="13"/>
  <c r="AD828" i="13"/>
  <c r="AD826" i="13"/>
  <c r="AD824" i="13"/>
  <c r="AD822" i="13"/>
  <c r="AD820" i="13"/>
  <c r="AD818" i="13"/>
  <c r="AD816" i="13"/>
  <c r="AD814" i="13"/>
  <c r="AD812" i="13"/>
  <c r="AD810" i="13"/>
  <c r="AD808" i="13"/>
  <c r="AD806" i="13"/>
  <c r="AD804" i="13"/>
  <c r="AD802" i="13"/>
  <c r="AD800" i="13"/>
  <c r="AD798" i="13"/>
  <c r="AD796" i="13"/>
  <c r="AD794" i="13"/>
  <c r="AD792" i="13"/>
  <c r="AD790" i="13"/>
  <c r="AD788" i="13"/>
  <c r="AD786" i="13"/>
  <c r="AD784" i="13"/>
  <c r="AD782" i="13"/>
  <c r="AD780" i="13"/>
  <c r="AD778" i="13"/>
  <c r="AD776" i="13"/>
  <c r="AD774" i="13"/>
  <c r="AD772" i="13"/>
  <c r="AD770" i="13"/>
  <c r="AD768" i="13"/>
  <c r="AD766" i="13"/>
  <c r="AD177" i="13"/>
  <c r="AD103" i="13"/>
  <c r="AD453" i="13"/>
  <c r="AD437" i="13"/>
  <c r="AD425" i="13"/>
  <c r="AD413" i="13"/>
  <c r="AD401" i="13"/>
  <c r="AD389" i="13"/>
  <c r="AD377" i="13"/>
  <c r="AD365" i="13"/>
  <c r="AD353" i="13"/>
  <c r="AD341" i="13"/>
  <c r="AD329" i="13"/>
  <c r="AD317" i="13"/>
  <c r="AD305" i="13"/>
  <c r="AD165" i="13"/>
  <c r="AD105" i="13"/>
  <c r="AD455" i="13"/>
  <c r="AD439" i="13"/>
  <c r="AD427" i="13"/>
  <c r="AD415" i="13"/>
  <c r="AD403" i="13"/>
  <c r="AD391" i="13"/>
  <c r="AD379" i="13"/>
  <c r="AD367" i="13"/>
  <c r="AD355" i="13"/>
  <c r="AD343" i="13"/>
  <c r="AD331" i="13"/>
  <c r="AD319" i="13"/>
  <c r="AD307" i="13"/>
  <c r="AD153" i="13"/>
  <c r="AD91" i="13"/>
  <c r="AD441" i="13"/>
  <c r="AD429" i="13"/>
  <c r="AG429" i="13" s="1"/>
  <c r="AD417" i="13"/>
  <c r="AD405" i="13"/>
  <c r="AD393" i="13"/>
  <c r="AD381" i="13"/>
  <c r="AD369" i="13"/>
  <c r="AD357" i="13"/>
  <c r="AD345" i="13"/>
  <c r="AD333" i="13"/>
  <c r="AD321" i="13"/>
  <c r="AD309" i="13"/>
  <c r="AD297" i="13"/>
  <c r="AD295" i="13"/>
  <c r="AD293" i="13"/>
  <c r="AD291" i="13"/>
  <c r="AD289" i="13"/>
  <c r="AD287" i="13"/>
  <c r="AD285" i="13"/>
  <c r="AG285" i="13" s="1"/>
  <c r="AD283" i="13"/>
  <c r="AD281" i="13"/>
  <c r="AD279" i="13"/>
  <c r="AD277" i="13"/>
  <c r="AD275" i="13"/>
  <c r="AD273" i="13"/>
  <c r="AD271" i="13"/>
  <c r="AD269" i="13"/>
  <c r="AD267" i="13"/>
  <c r="AD265" i="13"/>
  <c r="AD263" i="13"/>
  <c r="AD261" i="13"/>
  <c r="AD259" i="13"/>
  <c r="AD257" i="13"/>
  <c r="AD255" i="13"/>
  <c r="AD863" i="13"/>
  <c r="AD861" i="13"/>
  <c r="AD859" i="13"/>
  <c r="AD857" i="13"/>
  <c r="AD855" i="13"/>
  <c r="AD853" i="13"/>
  <c r="AD851" i="13"/>
  <c r="AD849" i="13"/>
  <c r="AD847" i="13"/>
  <c r="AD845" i="13"/>
  <c r="AD843" i="13"/>
  <c r="AD841" i="13"/>
  <c r="AD431" i="13"/>
  <c r="AD395" i="13"/>
  <c r="AD359" i="13"/>
  <c r="AD323" i="13"/>
  <c r="AD837" i="13"/>
  <c r="AD433" i="13"/>
  <c r="AD397" i="13"/>
  <c r="AD361" i="13"/>
  <c r="AD325" i="13"/>
  <c r="AG325" i="13" s="1"/>
  <c r="AD839" i="13"/>
  <c r="AD827" i="13"/>
  <c r="AD815" i="13"/>
  <c r="AD803" i="13"/>
  <c r="AD791" i="13"/>
  <c r="AD779" i="13"/>
  <c r="AD767" i="13"/>
  <c r="AD141" i="13"/>
  <c r="AD419" i="13"/>
  <c r="AD383" i="13"/>
  <c r="AD347" i="13"/>
  <c r="AD311" i="13"/>
  <c r="AD829" i="13"/>
  <c r="AD817" i="13"/>
  <c r="AD805" i="13"/>
  <c r="AD793" i="13"/>
  <c r="AD781" i="13"/>
  <c r="AD769" i="13"/>
  <c r="AD93" i="13"/>
  <c r="AD421" i="13"/>
  <c r="AD385" i="13"/>
  <c r="AD349" i="13"/>
  <c r="AD313" i="13"/>
  <c r="AD831" i="13"/>
  <c r="AD819" i="13"/>
  <c r="AD807" i="13"/>
  <c r="AD795" i="13"/>
  <c r="AD783" i="13"/>
  <c r="AD771" i="13"/>
  <c r="AD764" i="13"/>
  <c r="AD762" i="13"/>
  <c r="AD760" i="13"/>
  <c r="AD758" i="13"/>
  <c r="AD756" i="13"/>
  <c r="AD754" i="13"/>
  <c r="AD752" i="13"/>
  <c r="AD750" i="13"/>
  <c r="AD748" i="13"/>
  <c r="AD746" i="13"/>
  <c r="AD744" i="13"/>
  <c r="AD742" i="13"/>
  <c r="AD740" i="13"/>
  <c r="AD737" i="13"/>
  <c r="AD735" i="13"/>
  <c r="AD733" i="13"/>
  <c r="AD731" i="13"/>
  <c r="AD729" i="13"/>
  <c r="AD727" i="13"/>
  <c r="AD725" i="13"/>
  <c r="AD723" i="13"/>
  <c r="AD721" i="13"/>
  <c r="AD719" i="13"/>
  <c r="AD717" i="13"/>
  <c r="AD715" i="13"/>
  <c r="AD713" i="13"/>
  <c r="AD711" i="13"/>
  <c r="AD709" i="13"/>
  <c r="AD707" i="13"/>
  <c r="AD705" i="13"/>
  <c r="AD703" i="13"/>
  <c r="AD701" i="13"/>
  <c r="AD699" i="13"/>
  <c r="AD697" i="13"/>
  <c r="AD695" i="13"/>
  <c r="AD693" i="13"/>
  <c r="AD691" i="13"/>
  <c r="AD689" i="13"/>
  <c r="AD687" i="13"/>
  <c r="AD685" i="13"/>
  <c r="AD683" i="13"/>
  <c r="AD681" i="13"/>
  <c r="AD679" i="13"/>
  <c r="AD677" i="13"/>
  <c r="AD675" i="13"/>
  <c r="AD673" i="13"/>
  <c r="AD671" i="13"/>
  <c r="AD669" i="13"/>
  <c r="AD667" i="13"/>
  <c r="AD665" i="13"/>
  <c r="AD663" i="13"/>
  <c r="AD661" i="13"/>
  <c r="AD659" i="13"/>
  <c r="AD657" i="13"/>
  <c r="AD655" i="13"/>
  <c r="AD653" i="13"/>
  <c r="AD651" i="13"/>
  <c r="AD649" i="13"/>
  <c r="AD647" i="13"/>
  <c r="AG647" i="13" s="1"/>
  <c r="AD645" i="13"/>
  <c r="AD643" i="13"/>
  <c r="AD641" i="13"/>
  <c r="AD639" i="13"/>
  <c r="AD637" i="13"/>
  <c r="AD635" i="13"/>
  <c r="AD633" i="13"/>
  <c r="AD631" i="13"/>
  <c r="AD629" i="13"/>
  <c r="AD627" i="13"/>
  <c r="AD625" i="13"/>
  <c r="AD623" i="13"/>
  <c r="AD621" i="13"/>
  <c r="AD619" i="13"/>
  <c r="AD617" i="13"/>
  <c r="AG617" i="13" s="1"/>
  <c r="AD443" i="13"/>
  <c r="AD407" i="13"/>
  <c r="AD371" i="13"/>
  <c r="AD335" i="13"/>
  <c r="AD299" i="13"/>
  <c r="AD833" i="13"/>
  <c r="AD821" i="13"/>
  <c r="AD809" i="13"/>
  <c r="AD797" i="13"/>
  <c r="AD785" i="13"/>
  <c r="AD773" i="13"/>
  <c r="AD337" i="13"/>
  <c r="AD823" i="13"/>
  <c r="AD787" i="13"/>
  <c r="AD755" i="13"/>
  <c r="AD743" i="13"/>
  <c r="AD730" i="13"/>
  <c r="AD718" i="13"/>
  <c r="AD706" i="13"/>
  <c r="AD694" i="13"/>
  <c r="AD682" i="13"/>
  <c r="AD670" i="13"/>
  <c r="AD658" i="13"/>
  <c r="AD646" i="13"/>
  <c r="AD634" i="13"/>
  <c r="AD622" i="13"/>
  <c r="AD615" i="13"/>
  <c r="AD613" i="13"/>
  <c r="AD611" i="13"/>
  <c r="AD609" i="13"/>
  <c r="AD607" i="13"/>
  <c r="AD605" i="13"/>
  <c r="AD603" i="13"/>
  <c r="AD601" i="13"/>
  <c r="AD599" i="13"/>
  <c r="AD597" i="13"/>
  <c r="AD595" i="13"/>
  <c r="AD593" i="13"/>
  <c r="AD591" i="13"/>
  <c r="AD589" i="13"/>
  <c r="AD587" i="13"/>
  <c r="AD585" i="13"/>
  <c r="AD583" i="13"/>
  <c r="AD581" i="13"/>
  <c r="AD579" i="13"/>
  <c r="AD577" i="13"/>
  <c r="AD575" i="13"/>
  <c r="AD573" i="13"/>
  <c r="AD571" i="13"/>
  <c r="AD569" i="13"/>
  <c r="AD567" i="13"/>
  <c r="AD565" i="13"/>
  <c r="AD563" i="13"/>
  <c r="AD561" i="13"/>
  <c r="AD559" i="13"/>
  <c r="AD557" i="13"/>
  <c r="AD555" i="13"/>
  <c r="AD553" i="13"/>
  <c r="AD551" i="13"/>
  <c r="AD549" i="13"/>
  <c r="AD547" i="13"/>
  <c r="AD545" i="13"/>
  <c r="AD543" i="13"/>
  <c r="AD541" i="13"/>
  <c r="AD539" i="13"/>
  <c r="AD537" i="13"/>
  <c r="AD535" i="13"/>
  <c r="AD533" i="13"/>
  <c r="AD531" i="13"/>
  <c r="AD529" i="13"/>
  <c r="AD527" i="13"/>
  <c r="AD525" i="13"/>
  <c r="AD523" i="13"/>
  <c r="AD521" i="13"/>
  <c r="AD519" i="13"/>
  <c r="AD517" i="13"/>
  <c r="AD515" i="13"/>
  <c r="AD513" i="13"/>
  <c r="AD511" i="13"/>
  <c r="AD509" i="13"/>
  <c r="AD507" i="13"/>
  <c r="AD505" i="13"/>
  <c r="AD503" i="13"/>
  <c r="AD501" i="13"/>
  <c r="AD499" i="13"/>
  <c r="AD497" i="13"/>
  <c r="AD495" i="13"/>
  <c r="AD493" i="13"/>
  <c r="AD491" i="13"/>
  <c r="AD489" i="13"/>
  <c r="AD487" i="13"/>
  <c r="AD485" i="13"/>
  <c r="AD483" i="13"/>
  <c r="AD481" i="13"/>
  <c r="AD479" i="13"/>
  <c r="AD477" i="13"/>
  <c r="AD475" i="13"/>
  <c r="AD473" i="13"/>
  <c r="AD471" i="13"/>
  <c r="AD469" i="13"/>
  <c r="AD467" i="13"/>
  <c r="AD465" i="13"/>
  <c r="AD463" i="13"/>
  <c r="AD75" i="13"/>
  <c r="AD73" i="13"/>
  <c r="AD71" i="13"/>
  <c r="AD69" i="13"/>
  <c r="AD67" i="13"/>
  <c r="AD65" i="13"/>
  <c r="AD63" i="13"/>
  <c r="AD61" i="13"/>
  <c r="AD59" i="13"/>
  <c r="AD57" i="13"/>
  <c r="AD55" i="13"/>
  <c r="AD53" i="13"/>
  <c r="AD51" i="13"/>
  <c r="AD49" i="13"/>
  <c r="AD47" i="13"/>
  <c r="AD45" i="13"/>
  <c r="AD43" i="13"/>
  <c r="AD41" i="13"/>
  <c r="AD39" i="13"/>
  <c r="AD37" i="13"/>
  <c r="AD35" i="13"/>
  <c r="AD33" i="13"/>
  <c r="AD31" i="13"/>
  <c r="AD29" i="13"/>
  <c r="AD27" i="13"/>
  <c r="AD25" i="13"/>
  <c r="AD23" i="13"/>
  <c r="AD21" i="13"/>
  <c r="AD19" i="13"/>
  <c r="AD17" i="13"/>
  <c r="AD15" i="13"/>
  <c r="AD13" i="13"/>
  <c r="AD11" i="13"/>
  <c r="AD9" i="13"/>
  <c r="AD7" i="13"/>
  <c r="AD5" i="13"/>
  <c r="AD253" i="13"/>
  <c r="AD251" i="13"/>
  <c r="AD249" i="13"/>
  <c r="AD247" i="13"/>
  <c r="AD245" i="13"/>
  <c r="AD243" i="13"/>
  <c r="AD241" i="13"/>
  <c r="AD239" i="13"/>
  <c r="AD237" i="13"/>
  <c r="AD235" i="13"/>
  <c r="AD233" i="13"/>
  <c r="AD231" i="13"/>
  <c r="AD229" i="13"/>
  <c r="AD301" i="13"/>
  <c r="AD825" i="13"/>
  <c r="AD789" i="13"/>
  <c r="AD757" i="13"/>
  <c r="AD745" i="13"/>
  <c r="AD732" i="13"/>
  <c r="AD720" i="13"/>
  <c r="AD708" i="13"/>
  <c r="AD696" i="13"/>
  <c r="AD684" i="13"/>
  <c r="AD672" i="13"/>
  <c r="AD660" i="13"/>
  <c r="AD648" i="13"/>
  <c r="AG648" i="13" s="1"/>
  <c r="AD636" i="13"/>
  <c r="AD624" i="13"/>
  <c r="AD480" i="13"/>
  <c r="AD464" i="13"/>
  <c r="AD70" i="13"/>
  <c r="AD64" i="13"/>
  <c r="AD58" i="13"/>
  <c r="AD54" i="13"/>
  <c r="AD48" i="13"/>
  <c r="AD44" i="13"/>
  <c r="AD38" i="13"/>
  <c r="AD34" i="13"/>
  <c r="AD28" i="13"/>
  <c r="AD24" i="13"/>
  <c r="AD18" i="13"/>
  <c r="AD14" i="13"/>
  <c r="AD8" i="13"/>
  <c r="AD254" i="13"/>
  <c r="AD248" i="13"/>
  <c r="AD244" i="13"/>
  <c r="AD240" i="13"/>
  <c r="AD234" i="13"/>
  <c r="AD230" i="13"/>
  <c r="AD228" i="13"/>
  <c r="AD811" i="13"/>
  <c r="AD775" i="13"/>
  <c r="AD759" i="13"/>
  <c r="AD747" i="13"/>
  <c r="AD734" i="13"/>
  <c r="AD722" i="13"/>
  <c r="AD710" i="13"/>
  <c r="AD698" i="13"/>
  <c r="AD686" i="13"/>
  <c r="AD674" i="13"/>
  <c r="AD662" i="13"/>
  <c r="AD650" i="13"/>
  <c r="AD638" i="13"/>
  <c r="AD626" i="13"/>
  <c r="AD482" i="13"/>
  <c r="AD74" i="13"/>
  <c r="AD66" i="13"/>
  <c r="AD60" i="13"/>
  <c r="AD56" i="13"/>
  <c r="AD50" i="13"/>
  <c r="AD46" i="13"/>
  <c r="AD40" i="13"/>
  <c r="AD36" i="13"/>
  <c r="AD30" i="13"/>
  <c r="AD26" i="13"/>
  <c r="AD20" i="13"/>
  <c r="AD16" i="13"/>
  <c r="AD10" i="13"/>
  <c r="AD6" i="13"/>
  <c r="AD250" i="13"/>
  <c r="AD242" i="13"/>
  <c r="AD238" i="13"/>
  <c r="AD232" i="13"/>
  <c r="AD813" i="13"/>
  <c r="AD777" i="13"/>
  <c r="AD761" i="13"/>
  <c r="AD749" i="13"/>
  <c r="AD736" i="13"/>
  <c r="AD724" i="13"/>
  <c r="AD712" i="13"/>
  <c r="AD700" i="13"/>
  <c r="AD688" i="13"/>
  <c r="AD676" i="13"/>
  <c r="AD664" i="13"/>
  <c r="AD652" i="13"/>
  <c r="AD640" i="13"/>
  <c r="AD628" i="13"/>
  <c r="AD616" i="13"/>
  <c r="AD614" i="13"/>
  <c r="AD612" i="13"/>
  <c r="AD610" i="13"/>
  <c r="AD608" i="13"/>
  <c r="AD606" i="13"/>
  <c r="AD604" i="13"/>
  <c r="AD602" i="13"/>
  <c r="AD600" i="13"/>
  <c r="AD598" i="13"/>
  <c r="AD596" i="13"/>
  <c r="AD594" i="13"/>
  <c r="AD592" i="13"/>
  <c r="AD590" i="13"/>
  <c r="AD588" i="13"/>
  <c r="AD586" i="13"/>
  <c r="AD584" i="13"/>
  <c r="AD582" i="13"/>
  <c r="AD580" i="13"/>
  <c r="AD578" i="13"/>
  <c r="AD576" i="13"/>
  <c r="AD574" i="13"/>
  <c r="AD572" i="13"/>
  <c r="AD570" i="13"/>
  <c r="AD568" i="13"/>
  <c r="AD566" i="13"/>
  <c r="AD564" i="13"/>
  <c r="AD562" i="13"/>
  <c r="AD560" i="13"/>
  <c r="AD558" i="13"/>
  <c r="AD556" i="13"/>
  <c r="AD554" i="13"/>
  <c r="AD552" i="13"/>
  <c r="AD550" i="13"/>
  <c r="AD548" i="13"/>
  <c r="AD546" i="13"/>
  <c r="AD544" i="13"/>
  <c r="AD542" i="13"/>
  <c r="AD540" i="13"/>
  <c r="AD538" i="13"/>
  <c r="AD536" i="13"/>
  <c r="AD534" i="13"/>
  <c r="AD532" i="13"/>
  <c r="AD530" i="13"/>
  <c r="AD528" i="13"/>
  <c r="AD526" i="13"/>
  <c r="AD524" i="13"/>
  <c r="AD522" i="13"/>
  <c r="AD520" i="13"/>
  <c r="AD518" i="13"/>
  <c r="AD516" i="13"/>
  <c r="AD514" i="13"/>
  <c r="AD512" i="13"/>
  <c r="AD510" i="13"/>
  <c r="AD508" i="13"/>
  <c r="AD506" i="13"/>
  <c r="AD504" i="13"/>
  <c r="AD502" i="13"/>
  <c r="AD500" i="13"/>
  <c r="AD498" i="13"/>
  <c r="AD496" i="13"/>
  <c r="AD494" i="13"/>
  <c r="AD492" i="13"/>
  <c r="AD490" i="13"/>
  <c r="AD488" i="13"/>
  <c r="AD486" i="13"/>
  <c r="AD484" i="13"/>
  <c r="AD478" i="13"/>
  <c r="AD476" i="13"/>
  <c r="AD474" i="13"/>
  <c r="AD472" i="13"/>
  <c r="AD470" i="13"/>
  <c r="AD468" i="13"/>
  <c r="AD466" i="13"/>
  <c r="AD76" i="13"/>
  <c r="AD72" i="13"/>
  <c r="AD68" i="13"/>
  <c r="AD62" i="13"/>
  <c r="AD52" i="13"/>
  <c r="AD42" i="13"/>
  <c r="AD32" i="13"/>
  <c r="AD22" i="13"/>
  <c r="AD12" i="13"/>
  <c r="AD252" i="13"/>
  <c r="AD246" i="13"/>
  <c r="AD236" i="13"/>
  <c r="AD409" i="13"/>
  <c r="AD835" i="13"/>
  <c r="AD799" i="13"/>
  <c r="AD763" i="13"/>
  <c r="AD751" i="13"/>
  <c r="AD738" i="13"/>
  <c r="AD726" i="13"/>
  <c r="AD714" i="13"/>
  <c r="AD702" i="13"/>
  <c r="AD690" i="13"/>
  <c r="AD678" i="13"/>
  <c r="AD666" i="13"/>
  <c r="AD654" i="13"/>
  <c r="AD642" i="13"/>
  <c r="AD630" i="13"/>
  <c r="AD618" i="13"/>
  <c r="AD373" i="13"/>
  <c r="AD801" i="13"/>
  <c r="AD765" i="13"/>
  <c r="AD753" i="13"/>
  <c r="AD741" i="13"/>
  <c r="AD728" i="13"/>
  <c r="AD716" i="13"/>
  <c r="AD704" i="13"/>
  <c r="AD692" i="13"/>
  <c r="AD680" i="13"/>
  <c r="AD668" i="13"/>
  <c r="AD656" i="13"/>
  <c r="AD644" i="13"/>
  <c r="AD632" i="13"/>
  <c r="AD620" i="13"/>
  <c r="D21" i="31"/>
  <c r="D22" i="31"/>
  <c r="D23" i="31"/>
  <c r="I37" i="31"/>
  <c r="AD227" i="13"/>
  <c r="Q24" i="31"/>
  <c r="Q26" i="31" s="1"/>
  <c r="O26" i="31"/>
  <c r="K33" i="31"/>
  <c r="K35" i="31" s="1"/>
  <c r="K37" i="31" s="1"/>
  <c r="M29" i="31"/>
  <c r="E39" i="31"/>
  <c r="E38" i="31"/>
  <c r="E41" i="31"/>
  <c r="E40" i="31"/>
  <c r="D25" i="31"/>
  <c r="D31" i="31"/>
  <c r="D30" i="31"/>
  <c r="D32" i="31"/>
  <c r="AG426" i="13" l="1"/>
  <c r="AG208" i="13"/>
  <c r="AG68" i="13"/>
  <c r="AG143" i="13"/>
  <c r="AG355" i="13"/>
  <c r="F22" i="19"/>
  <c r="AG373" i="13"/>
  <c r="AG636" i="13"/>
  <c r="E23" i="32"/>
  <c r="F23" i="32" s="1"/>
  <c r="E24" i="32"/>
  <c r="F24" i="32" s="1"/>
  <c r="AG337" i="13"/>
  <c r="AG336" i="13"/>
  <c r="AG187" i="13"/>
  <c r="AG444" i="13"/>
  <c r="AG428" i="13"/>
  <c r="AG659" i="13"/>
  <c r="AG850" i="13"/>
  <c r="AG555" i="13"/>
  <c r="AG203" i="13"/>
  <c r="AG616" i="13"/>
  <c r="AG758" i="13"/>
  <c r="AG48" i="13"/>
  <c r="AG18" i="13"/>
  <c r="AG19" i="13"/>
  <c r="AG413" i="13"/>
  <c r="AG454" i="13"/>
  <c r="AG198" i="13"/>
  <c r="AG643" i="13"/>
  <c r="AG201" i="13"/>
  <c r="AG695" i="13"/>
  <c r="AG664" i="13"/>
  <c r="AG547" i="13"/>
  <c r="AG185" i="13"/>
  <c r="AG490" i="13"/>
  <c r="AG56" i="13"/>
  <c r="AG684" i="13"/>
  <c r="AG333" i="13"/>
  <c r="AG579" i="13"/>
  <c r="AG650" i="13"/>
  <c r="AG89" i="13"/>
  <c r="AG790" i="13"/>
  <c r="AG390" i="13"/>
  <c r="AG163" i="13"/>
  <c r="AG165" i="13"/>
  <c r="AG457" i="13"/>
  <c r="AG60" i="13"/>
  <c r="AG697" i="13"/>
  <c r="AG409" i="13"/>
  <c r="AG10" i="13"/>
  <c r="AG216" i="13"/>
  <c r="AG314" i="13"/>
  <c r="AG649" i="13"/>
  <c r="AG358" i="13"/>
  <c r="AG318" i="13"/>
  <c r="AG812" i="13"/>
  <c r="AG756" i="13"/>
  <c r="AG406" i="13"/>
  <c r="AG276" i="13"/>
  <c r="AG29" i="13"/>
  <c r="AG799" i="13"/>
  <c r="AG757" i="13"/>
  <c r="AG310" i="13"/>
  <c r="AG784" i="13"/>
  <c r="AG673" i="13"/>
  <c r="AG326" i="13"/>
  <c r="AG679" i="13"/>
  <c r="AG855" i="13"/>
  <c r="AG334" i="13"/>
  <c r="AG609" i="13"/>
  <c r="AG140" i="13"/>
  <c r="AG446" i="13"/>
  <c r="AG829" i="13"/>
  <c r="AG859" i="13"/>
  <c r="AG375" i="13"/>
  <c r="AG197" i="13"/>
  <c r="AG556" i="13"/>
  <c r="AG735" i="13"/>
  <c r="AG307" i="13"/>
  <c r="AG746" i="13"/>
  <c r="AG229" i="13"/>
  <c r="AG845" i="13"/>
  <c r="AG278" i="13"/>
  <c r="AG543" i="13"/>
  <c r="AG79" i="13"/>
  <c r="AG306" i="13"/>
  <c r="AG367" i="13"/>
  <c r="AG416" i="13"/>
  <c r="AG524" i="13"/>
  <c r="AG486" i="13"/>
  <c r="AG487" i="13"/>
  <c r="AG277" i="13"/>
  <c r="AG258" i="13"/>
  <c r="AG475" i="13"/>
  <c r="AG808" i="13"/>
  <c r="AG173" i="13"/>
  <c r="AG692" i="13"/>
  <c r="AG722" i="13"/>
  <c r="AG661" i="13"/>
  <c r="AG595" i="13"/>
  <c r="AG512" i="13"/>
  <c r="AG372" i="13"/>
  <c r="AG150" i="13"/>
  <c r="AG368" i="13"/>
  <c r="AG724" i="13"/>
  <c r="AG438" i="13"/>
  <c r="AG733" i="13"/>
  <c r="AG125" i="13"/>
  <c r="AG176" i="13"/>
  <c r="AG828" i="13"/>
  <c r="AG510" i="13"/>
  <c r="AG559" i="13"/>
  <c r="AG709" i="13"/>
  <c r="AG764" i="13"/>
  <c r="AG288" i="13"/>
  <c r="AG54" i="13"/>
  <c r="AG252" i="13"/>
  <c r="AG584" i="13"/>
  <c r="AG188" i="13"/>
  <c r="AG378" i="13"/>
  <c r="AG15" i="13"/>
  <c r="AG625" i="13"/>
  <c r="AG863" i="13"/>
  <c r="AG399" i="13"/>
  <c r="AG747" i="13"/>
  <c r="AG323" i="13"/>
  <c r="AG491" i="13"/>
  <c r="AG172" i="13"/>
  <c r="AG308" i="13"/>
  <c r="AG377" i="13"/>
  <c r="AG139" i="13"/>
  <c r="AG410" i="13"/>
  <c r="AG824" i="13"/>
  <c r="AG874" i="13"/>
  <c r="AG880" i="13"/>
  <c r="AG870" i="13"/>
  <c r="AG875" i="13"/>
  <c r="AG920" i="13"/>
  <c r="AG897" i="13"/>
  <c r="AG223" i="13"/>
  <c r="AG641" i="13"/>
  <c r="E23" i="24"/>
  <c r="F23" i="24" s="1"/>
  <c r="E22" i="24"/>
  <c r="F22" i="24" s="1"/>
  <c r="E13" i="32"/>
  <c r="F13" i="32" s="1"/>
  <c r="E22" i="32"/>
  <c r="F22" i="32" s="1"/>
  <c r="E21" i="32"/>
  <c r="F21" i="32" s="1"/>
  <c r="E20" i="32"/>
  <c r="F20" i="32" s="1"/>
  <c r="AG645" i="13"/>
  <c r="AG681" i="13"/>
  <c r="AG182" i="13"/>
  <c r="AG316" i="13"/>
  <c r="AG361" i="13"/>
  <c r="AG861" i="13"/>
  <c r="AG878" i="13"/>
  <c r="AG301" i="13"/>
  <c r="AG752" i="13"/>
  <c r="AG66" i="13"/>
  <c r="AG570" i="13"/>
  <c r="AG439" i="13"/>
  <c r="AG716" i="13"/>
  <c r="AG267" i="13"/>
  <c r="AG463" i="13"/>
  <c r="AG412" i="13"/>
  <c r="AG817" i="13"/>
  <c r="AG264" i="13"/>
  <c r="AG414" i="13"/>
  <c r="AG468" i="13"/>
  <c r="AG473" i="13"/>
  <c r="AG711" i="13"/>
  <c r="AG392" i="13"/>
  <c r="AG451" i="13"/>
  <c r="AG670" i="13"/>
  <c r="AG585" i="13"/>
  <c r="AG470" i="13"/>
  <c r="AG178" i="13"/>
  <c r="AG465" i="13"/>
  <c r="AG436" i="13"/>
  <c r="AG794" i="13"/>
  <c r="AG346" i="13"/>
  <c r="AG183" i="13"/>
  <c r="AG476" i="13"/>
  <c r="AG93" i="13"/>
  <c r="AG394" i="13"/>
  <c r="AG369" i="13"/>
  <c r="AG448" i="13"/>
  <c r="AG544" i="13"/>
  <c r="AG472" i="13"/>
  <c r="AG526" i="13"/>
  <c r="AG857" i="13"/>
  <c r="AG434" i="13"/>
  <c r="AG403" i="13"/>
  <c r="AG161" i="13"/>
  <c r="AG319" i="13"/>
  <c r="AG712" i="13"/>
  <c r="AG677" i="13"/>
  <c r="AG354" i="13"/>
  <c r="AG701" i="13"/>
  <c r="AG160" i="13"/>
  <c r="AG445" i="13"/>
  <c r="AG164" i="13"/>
  <c r="AG462" i="13"/>
  <c r="AG388" i="13"/>
  <c r="AG591" i="13"/>
  <c r="AG826" i="13"/>
  <c r="AG35" i="13"/>
  <c r="AG405" i="13"/>
  <c r="AG838" i="13"/>
  <c r="AG726" i="13"/>
  <c r="AG90" i="13"/>
  <c r="AG283" i="13"/>
  <c r="AG545" i="13"/>
  <c r="AG580" i="13"/>
  <c r="AG37" i="13"/>
  <c r="AG364" i="13"/>
  <c r="AG204" i="13"/>
  <c r="AG312" i="13"/>
  <c r="AG296" i="13"/>
  <c r="AG608" i="13"/>
  <c r="AG506" i="13"/>
  <c r="AG309" i="13"/>
  <c r="AG656" i="13"/>
  <c r="AG775" i="13"/>
  <c r="AG105" i="13"/>
  <c r="AG596" i="13"/>
  <c r="AG129" i="13"/>
  <c r="AG210" i="13"/>
  <c r="AG529" i="13"/>
  <c r="AG755" i="13"/>
  <c r="AG88" i="13"/>
  <c r="AG702" i="13"/>
  <c r="AG484" i="13"/>
  <c r="AG494" i="13"/>
  <c r="AG834" i="13"/>
  <c r="AG628" i="13"/>
  <c r="AG360" i="13"/>
  <c r="AG523" i="13"/>
  <c r="AG279" i="13"/>
  <c r="AG341" i="13"/>
  <c r="AG82" i="13"/>
  <c r="AG142" i="13"/>
  <c r="AG53" i="13"/>
  <c r="AG734" i="13"/>
  <c r="AG450" i="13"/>
  <c r="AG52" i="13"/>
  <c r="AG58" i="13"/>
  <c r="AG835" i="13"/>
  <c r="AG820" i="13"/>
  <c r="AG311" i="13"/>
  <c r="AG802" i="13"/>
  <c r="AG637" i="13"/>
  <c r="AG508" i="13"/>
  <c r="AG589" i="13"/>
  <c r="AG231" i="13"/>
  <c r="AG286" i="13"/>
  <c r="AG527" i="13"/>
  <c r="AG665" i="13"/>
  <c r="AG13" i="13"/>
  <c r="AG382" i="13"/>
  <c r="AG604" i="13"/>
  <c r="AG411" i="13"/>
  <c r="AG503" i="13"/>
  <c r="AG393" i="13"/>
  <c r="AG189" i="13"/>
  <c r="AG483" i="13"/>
  <c r="AG329" i="13"/>
  <c r="AG819" i="13"/>
  <c r="AG482" i="13"/>
  <c r="AG21" i="13"/>
  <c r="AG660" i="13"/>
  <c r="AG536" i="13"/>
  <c r="AG762" i="13"/>
  <c r="AG460" i="13"/>
  <c r="AG55" i="13"/>
  <c r="AG9" i="13"/>
  <c r="AG528" i="13"/>
  <c r="AG864" i="13"/>
  <c r="AG331" i="13"/>
  <c r="AG291" i="13"/>
  <c r="AG45" i="13"/>
  <c r="AG63" i="13"/>
  <c r="AG266" i="13"/>
  <c r="AG795" i="13"/>
  <c r="AG736" i="13"/>
  <c r="AG578" i="13"/>
  <c r="AG630" i="13"/>
  <c r="AG104" i="13"/>
  <c r="AG362" i="13"/>
  <c r="AG102" i="13"/>
  <c r="AG849" i="13"/>
  <c r="AG560" i="13"/>
  <c r="AG456" i="13"/>
  <c r="AG57" i="13"/>
  <c r="AG574" i="13"/>
  <c r="AG891" i="13"/>
  <c r="AG893" i="13"/>
  <c r="AG887" i="13"/>
  <c r="AG888" i="13"/>
  <c r="AG881" i="13"/>
  <c r="AG918" i="13"/>
  <c r="AG908" i="13"/>
  <c r="AG910" i="13"/>
  <c r="AG915" i="13"/>
  <c r="AG103" i="13"/>
  <c r="AG669" i="13"/>
  <c r="AG328" i="13"/>
  <c r="AG657" i="13"/>
  <c r="AG275" i="13"/>
  <c r="AG97" i="13"/>
  <c r="AG898" i="13"/>
  <c r="AG568" i="13"/>
  <c r="AG274" i="13"/>
  <c r="AG259" i="13"/>
  <c r="AG689" i="13"/>
  <c r="AG184" i="13"/>
  <c r="AG742" i="13"/>
  <c r="AG432" i="13"/>
  <c r="AG511" i="13"/>
  <c r="AG766" i="13"/>
  <c r="AG844" i="13"/>
  <c r="AG11" i="13"/>
  <c r="AG430" i="13"/>
  <c r="AG748" i="13"/>
  <c r="AG389" i="13"/>
  <c r="AG654" i="13"/>
  <c r="AG809" i="13"/>
  <c r="AG251" i="13"/>
  <c r="AG675" i="13"/>
  <c r="AG191" i="13"/>
  <c r="AG127" i="13"/>
  <c r="AG168" i="13"/>
  <c r="AG156" i="13"/>
  <c r="AG586" i="13"/>
  <c r="AG782" i="13"/>
  <c r="AG459" i="13"/>
  <c r="AG477" i="13"/>
  <c r="AG324" i="13"/>
  <c r="AG112" i="13"/>
  <c r="AG230" i="13"/>
  <c r="AG418" i="13"/>
  <c r="AG94" i="13"/>
  <c r="AG554" i="13"/>
  <c r="AG212" i="13"/>
  <c r="AG289" i="13"/>
  <c r="AG425" i="13"/>
  <c r="AG72" i="13"/>
  <c r="AG631" i="13"/>
  <c r="AG343" i="13"/>
  <c r="AG132" i="13"/>
  <c r="AG67" i="13"/>
  <c r="AG611" i="13"/>
  <c r="AG181" i="13"/>
  <c r="AG614" i="13"/>
  <c r="AG842" i="13"/>
  <c r="AG539" i="13"/>
  <c r="AG6" i="13"/>
  <c r="AG200" i="13"/>
  <c r="AG663" i="13"/>
  <c r="AG686" i="13"/>
  <c r="AG853" i="13"/>
  <c r="AG517" i="13"/>
  <c r="AG96" i="13"/>
  <c r="AG496" i="13"/>
  <c r="AG383" i="13"/>
  <c r="AG51" i="13"/>
  <c r="AG535" i="13"/>
  <c r="AG42" i="13"/>
  <c r="AG370" i="13"/>
  <c r="AG376" i="13"/>
  <c r="AG420" i="13"/>
  <c r="AG222" i="13"/>
  <c r="AG613" i="13"/>
  <c r="AG245" i="13"/>
  <c r="AG363" i="13"/>
  <c r="AG704" i="13"/>
  <c r="AG680" i="13"/>
  <c r="AG725" i="13"/>
  <c r="AG254" i="13"/>
  <c r="AG180" i="13"/>
  <c r="AG442" i="13"/>
  <c r="AG248" i="13"/>
  <c r="AG124" i="13"/>
  <c r="AG158" i="13"/>
  <c r="AG776" i="13"/>
  <c r="AG562" i="13"/>
  <c r="AG501" i="13"/>
  <c r="AG699" i="13"/>
  <c r="AG531" i="13"/>
  <c r="AG313" i="13"/>
  <c r="AG243" i="13"/>
  <c r="AG330" i="13"/>
  <c r="AG217" i="13"/>
  <c r="AG16" i="13"/>
  <c r="AG525" i="13"/>
  <c r="AG519" i="13"/>
  <c r="AG447" i="13"/>
  <c r="AG24" i="13"/>
  <c r="AG760" i="13"/>
  <c r="AG387" i="13"/>
  <c r="AG384" i="13"/>
  <c r="AG400" i="13"/>
  <c r="AG862" i="13"/>
  <c r="AG435" i="13"/>
  <c r="AG424" i="13"/>
  <c r="AG255" i="13"/>
  <c r="AG666" i="13"/>
  <c r="AG138" i="13"/>
  <c r="AG565" i="13"/>
  <c r="AG174" i="13"/>
  <c r="AG92" i="13"/>
  <c r="AG682" i="13"/>
  <c r="AG293" i="13"/>
  <c r="AG305" i="13"/>
  <c r="AG20" i="13"/>
  <c r="AG121" i="13"/>
  <c r="AG474" i="13"/>
  <c r="AG575" i="13"/>
  <c r="AG576" i="13"/>
  <c r="AG801" i="13"/>
  <c r="AG228" i="13"/>
  <c r="AG269" i="13"/>
  <c r="AG810" i="13"/>
  <c r="AG300" i="13"/>
  <c r="AG213" i="13"/>
  <c r="AG28" i="13"/>
  <c r="AG485" i="13"/>
  <c r="AG141" i="13"/>
  <c r="AG750" i="13"/>
  <c r="AG371" i="13"/>
  <c r="AG25" i="13"/>
  <c r="AG149" i="13"/>
  <c r="AG534" i="13"/>
  <c r="AG837" i="13"/>
  <c r="AG622" i="13"/>
  <c r="AG177" i="13"/>
  <c r="AG797" i="13"/>
  <c r="AG546" i="13"/>
  <c r="AG852" i="13"/>
  <c r="AG786" i="13"/>
  <c r="AG727" i="13"/>
  <c r="AG292" i="13"/>
  <c r="AG480" i="13"/>
  <c r="AG282" i="13"/>
  <c r="AG703" i="13"/>
  <c r="AG423" i="13"/>
  <c r="AG831" i="13"/>
  <c r="AG516" i="13"/>
  <c r="AG199" i="13"/>
  <c r="AG268" i="13"/>
  <c r="AG788" i="13"/>
  <c r="AG879" i="13"/>
  <c r="AG894" i="13"/>
  <c r="AG871" i="13"/>
  <c r="AG868" i="13"/>
  <c r="AG884" i="13"/>
  <c r="AG901" i="13"/>
  <c r="AG912" i="13"/>
  <c r="AG914" i="13"/>
  <c r="AG907" i="13"/>
  <c r="AG335" i="13"/>
  <c r="AG218" i="13"/>
  <c r="AG738" i="13"/>
  <c r="AG118" i="13"/>
  <c r="AG548" i="13"/>
  <c r="AG833" i="13"/>
  <c r="AG688" i="13"/>
  <c r="AG668" i="13"/>
  <c r="AG769" i="13"/>
  <c r="AG427" i="13"/>
  <c r="AG615" i="13"/>
  <c r="AG573" i="13"/>
  <c r="AG261" i="13"/>
  <c r="AG499" i="13"/>
  <c r="AG117" i="13"/>
  <c r="AG811" i="13"/>
  <c r="AG761" i="13"/>
  <c r="AG708" i="13"/>
  <c r="AG131" i="13"/>
  <c r="AG587" i="13"/>
  <c r="AG621" i="13"/>
  <c r="AG607" i="13"/>
  <c r="AG304" i="13"/>
  <c r="AG30" i="13"/>
  <c r="AG624" i="13"/>
  <c r="AG236" i="13"/>
  <c r="AG77" i="13"/>
  <c r="AG569" i="13"/>
  <c r="AG263" i="13"/>
  <c r="AG241" i="13"/>
  <c r="AG345" i="13"/>
  <c r="AG153" i="13"/>
  <c r="AG381" i="13"/>
  <c r="AG830" i="13"/>
  <c r="AG773" i="13"/>
  <c r="AG571" i="13"/>
  <c r="AG800" i="13"/>
  <c r="AG532" i="13"/>
  <c r="AG461" i="13"/>
  <c r="AG533" i="13"/>
  <c r="AG610" i="13"/>
  <c r="AG683" i="13"/>
  <c r="AG551" i="13"/>
  <c r="AG385" i="13"/>
  <c r="AG281" i="13"/>
  <c r="AG167" i="13"/>
  <c r="AG39" i="13"/>
  <c r="AG593" i="13"/>
  <c r="AG46" i="13"/>
  <c r="AG273" i="13"/>
  <c r="AG713" i="13"/>
  <c r="AG719" i="13"/>
  <c r="AG270" i="13"/>
  <c r="AG76" i="13"/>
  <c r="AG469" i="13"/>
  <c r="AG27" i="13"/>
  <c r="AG379" i="13"/>
  <c r="AG407" i="13"/>
  <c r="AG839" i="13"/>
  <c r="AG827" i="13"/>
  <c r="AG449" i="13"/>
  <c r="AG108" i="13"/>
  <c r="AG170" i="13"/>
  <c r="AG804" i="13"/>
  <c r="AG78" i="13"/>
  <c r="AG12" i="13"/>
  <c r="AG116" i="13"/>
  <c r="AG113" i="13"/>
  <c r="AG169" i="13"/>
  <c r="AG751" i="13"/>
  <c r="AG83" i="13"/>
  <c r="AG327" i="13"/>
  <c r="AG644" i="13"/>
  <c r="AG22" i="13"/>
  <c r="AG767" i="13"/>
  <c r="AG147" i="13"/>
  <c r="AG854" i="13"/>
  <c r="AG137" i="13"/>
  <c r="AG36" i="13"/>
  <c r="AG294" i="13"/>
  <c r="AG398" i="13"/>
  <c r="AG635" i="13"/>
  <c r="AG455" i="13"/>
  <c r="AG707" i="13"/>
  <c r="AG740" i="13"/>
  <c r="AG803" i="13"/>
  <c r="AG505" i="13"/>
  <c r="AG40" i="13"/>
  <c r="AG123" i="13"/>
  <c r="AG492" i="13"/>
  <c r="AG787" i="13"/>
  <c r="AG175" i="13"/>
  <c r="AG481" i="13"/>
  <c r="AG728" i="13"/>
  <c r="AG402" i="13"/>
  <c r="AG65" i="13"/>
  <c r="AG111" i="13"/>
  <c r="AG514" i="13"/>
  <c r="AG743" i="13"/>
  <c r="AG714" i="13"/>
  <c r="AG287" i="13"/>
  <c r="AG135" i="13"/>
  <c r="AG386" i="13"/>
  <c r="AG507" i="13"/>
  <c r="AG8" i="13"/>
  <c r="AG110" i="13"/>
  <c r="AG653" i="13"/>
  <c r="AG194" i="13"/>
  <c r="AG234" i="13"/>
  <c r="AG440" i="13"/>
  <c r="AG196" i="13"/>
  <c r="AG774" i="13"/>
  <c r="AG257" i="13"/>
  <c r="AG317" i="13"/>
  <c r="AG639" i="13"/>
  <c r="AG815" i="13"/>
  <c r="AG466" i="13"/>
  <c r="AG600" i="13"/>
  <c r="AG798" i="13"/>
  <c r="AG741" i="13"/>
  <c r="AG359" i="13"/>
  <c r="AG557" i="13"/>
  <c r="AG122" i="13"/>
  <c r="AG32" i="13"/>
  <c r="AG825" i="13"/>
  <c r="AG504" i="13"/>
  <c r="AG338" i="13"/>
  <c r="AG219" i="13"/>
  <c r="AG779" i="13"/>
  <c r="AG816" i="13"/>
  <c r="AG777" i="13"/>
  <c r="AG718" i="13"/>
  <c r="AG678" i="13"/>
  <c r="AG642" i="13"/>
  <c r="AG629" i="13"/>
  <c r="AG205" i="13"/>
  <c r="AG365" i="13"/>
  <c r="AG822" i="13"/>
  <c r="AG498" i="13"/>
  <c r="AG618" i="13"/>
  <c r="AG818" i="13"/>
  <c r="AG885" i="13"/>
  <c r="AG892" i="13"/>
  <c r="AG877" i="13"/>
  <c r="AG872" i="13"/>
  <c r="AG865" i="13"/>
  <c r="AG904" i="13"/>
  <c r="AG916" i="13"/>
  <c r="AG902" i="13"/>
  <c r="AG919" i="13"/>
  <c r="AG895" i="13"/>
  <c r="AG493" i="13"/>
  <c r="AG146" i="13"/>
  <c r="AG590" i="13"/>
  <c r="AG905" i="13"/>
  <c r="E19" i="32"/>
  <c r="F19" i="32" s="1"/>
  <c r="AG348" i="13"/>
  <c r="AG280" i="13"/>
  <c r="AG791" i="13"/>
  <c r="AG265" i="13"/>
  <c r="AG658" i="13"/>
  <c r="AG71" i="13"/>
  <c r="AG796" i="13"/>
  <c r="AG107" i="13"/>
  <c r="AG226" i="13"/>
  <c r="AG737" i="13"/>
  <c r="AG99" i="13"/>
  <c r="AG646" i="13"/>
  <c r="AG238" i="13"/>
  <c r="AG583" i="13"/>
  <c r="AG171" i="13"/>
  <c r="AG247" i="13"/>
  <c r="AG577" i="13"/>
  <c r="AG347" i="13"/>
  <c r="AG211" i="13"/>
  <c r="AG95" i="13"/>
  <c r="AG478" i="13"/>
  <c r="AG239" i="13"/>
  <c r="AG843" i="13"/>
  <c r="AG351" i="13"/>
  <c r="AG271" i="13"/>
  <c r="AG396" i="13"/>
  <c r="AG605" i="13"/>
  <c r="AG179" i="13"/>
  <c r="AG357" i="13"/>
  <c r="AG215" i="13"/>
  <c r="AG542" i="13"/>
  <c r="AG717" i="13"/>
  <c r="AG256" i="13"/>
  <c r="AG166" i="13"/>
  <c r="AG729" i="13"/>
  <c r="AG322" i="13"/>
  <c r="AG419" i="13"/>
  <c r="AG120" i="13"/>
  <c r="AG366" i="13"/>
  <c r="AG563" i="13"/>
  <c r="AG157" i="13"/>
  <c r="AG561" i="13"/>
  <c r="AG632" i="13"/>
  <c r="AG253" i="13"/>
  <c r="AG821" i="13"/>
  <c r="AG464" i="13"/>
  <c r="AG710" i="13"/>
  <c r="AG250" i="13"/>
  <c r="AG793" i="13"/>
  <c r="AG745" i="13"/>
  <c r="AG114" i="13"/>
  <c r="AG662" i="13"/>
  <c r="AG540" i="13"/>
  <c r="AG14" i="13"/>
  <c r="AG671" i="13"/>
  <c r="AG262" i="13"/>
  <c r="AG186" i="13"/>
  <c r="AG62" i="13"/>
  <c r="AG723" i="13"/>
  <c r="AG299" i="13"/>
  <c r="AG26" i="13"/>
  <c r="AG691" i="13"/>
  <c r="AG627" i="13"/>
  <c r="AG640" i="13"/>
  <c r="AG144" i="13"/>
  <c r="AG206" i="13"/>
  <c r="AG23" i="13"/>
  <c r="AG778" i="13"/>
  <c r="AG297" i="13"/>
  <c r="AG638" i="13"/>
  <c r="AG315" i="13"/>
  <c r="AG655" i="13"/>
  <c r="AG479" i="13"/>
  <c r="AG195" i="13"/>
  <c r="AG785" i="13"/>
  <c r="AG550" i="13"/>
  <c r="AG452" i="13"/>
  <c r="AG488" i="13"/>
  <c r="AG513" i="13"/>
  <c r="AG599" i="13"/>
  <c r="AG295" i="13"/>
  <c r="AG284" i="13"/>
  <c r="AG7" i="13"/>
  <c r="AG401" i="13"/>
  <c r="AG441" i="13"/>
  <c r="AG244" i="13"/>
  <c r="AG145" i="13"/>
  <c r="AG698" i="13"/>
  <c r="AG814" i="13"/>
  <c r="AG847" i="13"/>
  <c r="AG731" i="13"/>
  <c r="AG754" i="13"/>
  <c r="AG453" i="13"/>
  <c r="AG700" i="13"/>
  <c r="AG598" i="13"/>
  <c r="AG619" i="13"/>
  <c r="AG86" i="13"/>
  <c r="AG860" i="13"/>
  <c r="AG225" i="13"/>
  <c r="AG652" i="13"/>
  <c r="AG152" i="13"/>
  <c r="AG109" i="13"/>
  <c r="AG500" i="13"/>
  <c r="AG581" i="13"/>
  <c r="AG349" i="13"/>
  <c r="AG783" i="13"/>
  <c r="AG667" i="13"/>
  <c r="AG792" i="13"/>
  <c r="AG31" i="13"/>
  <c r="AG744" i="13"/>
  <c r="AG126" i="13"/>
  <c r="AG858" i="13"/>
  <c r="AG417" i="13"/>
  <c r="AG672" i="13"/>
  <c r="AG74" i="13"/>
  <c r="AG192" i="13"/>
  <c r="AG789" i="13"/>
  <c r="AG730" i="13"/>
  <c r="AG520" i="13"/>
  <c r="AG690" i="13"/>
  <c r="AG151" i="13"/>
  <c r="AG391" i="13"/>
  <c r="AG807" i="13"/>
  <c r="AG594" i="13"/>
  <c r="AG696" i="13"/>
  <c r="AG720" i="13"/>
  <c r="AG518" i="13"/>
  <c r="AG119" i="13"/>
  <c r="AG220" i="13"/>
  <c r="AG768" i="13"/>
  <c r="AG340" i="13"/>
  <c r="AG34" i="13"/>
  <c r="AG246" i="13"/>
  <c r="AG685" i="13"/>
  <c r="AG193" i="13"/>
  <c r="AG272" i="13"/>
  <c r="AG813" i="13"/>
  <c r="AG588" i="13"/>
  <c r="AG530" i="13"/>
  <c r="AG69" i="13"/>
  <c r="AG882" i="13"/>
  <c r="AG866" i="13"/>
  <c r="AG889" i="13"/>
  <c r="AG886" i="13"/>
  <c r="AG890" i="13"/>
  <c r="AG896" i="13"/>
  <c r="AG917" i="13"/>
  <c r="AG900" i="13"/>
  <c r="AG911" i="13"/>
  <c r="AG903" i="13"/>
  <c r="AG601" i="13"/>
  <c r="AG159" i="13"/>
  <c r="AG237" i="13"/>
  <c r="AG134" i="13"/>
  <c r="AG352" i="13"/>
  <c r="AG771" i="13"/>
  <c r="AG552" i="13"/>
  <c r="AG602" i="13"/>
  <c r="AG235" i="13"/>
  <c r="AG694" i="13"/>
  <c r="AG233" i="13"/>
  <c r="AG634" i="13"/>
  <c r="AG823" i="13"/>
  <c r="AG856" i="13"/>
  <c r="AG224" i="13"/>
  <c r="AG763" i="13"/>
  <c r="AG87" i="13"/>
  <c r="AG633" i="13"/>
  <c r="AG522" i="13"/>
  <c r="AG38" i="13"/>
  <c r="AG209" i="13"/>
  <c r="AG572" i="13"/>
  <c r="AG33" i="13"/>
  <c r="AG521" i="13"/>
  <c r="AG91" i="13"/>
  <c r="AG497" i="13"/>
  <c r="AG495" i="13"/>
  <c r="AG298" i="13"/>
  <c r="AG749" i="13"/>
  <c r="AG851" i="13"/>
  <c r="AG148" i="13"/>
  <c r="AG61" i="13"/>
  <c r="AG846" i="13"/>
  <c r="AG339" i="13"/>
  <c r="AG162" i="13"/>
  <c r="AG626" i="13"/>
  <c r="AG770" i="13"/>
  <c r="AG128" i="13"/>
  <c r="AG836" i="13"/>
  <c r="AG356" i="13"/>
  <c r="AG422" i="13"/>
  <c r="AG115" i="13"/>
  <c r="AG221" i="13"/>
  <c r="AG421" i="13"/>
  <c r="AG154" i="13"/>
  <c r="AG623" i="13"/>
  <c r="AG130" i="13"/>
  <c r="AG620" i="13"/>
  <c r="AG207" i="13"/>
  <c r="AG70" i="13"/>
  <c r="AG674" i="13"/>
  <c r="AG805" i="13"/>
  <c r="AG537" i="13"/>
  <c r="AG232" i="13"/>
  <c r="AG772" i="13"/>
  <c r="AG155" i="13"/>
  <c r="AG651" i="13"/>
  <c r="AG597" i="13"/>
  <c r="AG553" i="13"/>
  <c r="AG350" i="13"/>
  <c r="AG80" i="13"/>
  <c r="AG567" i="13"/>
  <c r="AG98" i="13"/>
  <c r="AG344" i="13"/>
  <c r="AG471" i="13"/>
  <c r="AG443" i="13"/>
  <c r="AG603" i="13"/>
  <c r="AG549" i="13"/>
  <c r="AG458" i="13"/>
  <c r="AG705" i="13"/>
  <c r="AG397" i="13"/>
  <c r="AG47" i="13"/>
  <c r="AG832" i="13"/>
  <c r="AG303" i="13"/>
  <c r="AG106" i="13"/>
  <c r="AG242" i="13"/>
  <c r="AG380" i="13"/>
  <c r="AG592" i="13"/>
  <c r="AG100" i="13"/>
  <c r="AG467" i="13"/>
  <c r="AG806" i="13"/>
  <c r="AG395" i="13"/>
  <c r="AG404" i="13"/>
  <c r="AG101" i="13"/>
  <c r="AG214" i="13"/>
  <c r="AG437" i="13"/>
  <c r="AG342" i="13"/>
  <c r="AG321" i="13"/>
  <c r="AG848" i="13"/>
  <c r="AG558" i="13"/>
  <c r="AG17" i="13"/>
  <c r="AG202" i="13"/>
  <c r="AG687" i="13"/>
  <c r="AG841" i="13"/>
  <c r="AG41" i="13"/>
  <c r="AG5" i="13"/>
  <c r="AG781" i="13"/>
  <c r="AG85" i="13"/>
  <c r="AG693" i="13"/>
  <c r="AG59" i="13"/>
  <c r="AG502" i="13"/>
  <c r="AG50" i="13"/>
  <c r="AG64" i="13"/>
  <c r="AG732" i="13"/>
  <c r="AG541" i="13"/>
  <c r="AG249" i="13"/>
  <c r="AG515" i="13"/>
  <c r="AG320" i="13"/>
  <c r="AG715" i="13"/>
  <c r="AG676" i="13"/>
  <c r="AG753" i="13"/>
  <c r="AG538" i="13"/>
  <c r="AG765" i="13"/>
  <c r="AG190" i="13"/>
  <c r="AG706" i="13"/>
  <c r="AG81" i="13"/>
  <c r="AG840" i="13"/>
  <c r="AG606" i="13"/>
  <c r="AG75" i="13"/>
  <c r="AG582" i="13"/>
  <c r="AG332" i="13"/>
  <c r="AG780" i="13"/>
  <c r="AG721" i="13"/>
  <c r="AG489" i="13"/>
  <c r="AG49" i="13"/>
  <c r="AG302" i="13"/>
  <c r="AG566" i="13"/>
  <c r="AG415" i="13"/>
  <c r="AG612" i="13"/>
  <c r="AG509" i="13"/>
  <c r="AG564" i="13"/>
  <c r="AG136" i="13"/>
  <c r="AG84" i="13"/>
  <c r="AG759" i="13"/>
  <c r="AG353" i="13"/>
  <c r="AG73" i="13"/>
  <c r="AG240" i="13"/>
  <c r="AG44" i="13"/>
  <c r="AG431" i="13"/>
  <c r="AG260" i="13"/>
  <c r="AG433" i="13"/>
  <c r="AG43" i="13"/>
  <c r="AG290" i="13"/>
  <c r="AG374" i="13"/>
  <c r="AG921" i="13"/>
  <c r="AG876" i="13"/>
  <c r="AG873" i="13"/>
  <c r="AG883" i="13"/>
  <c r="AG867" i="13"/>
  <c r="AG909" i="13"/>
  <c r="AG906" i="13"/>
  <c r="AG913" i="13"/>
  <c r="AG899" i="13"/>
  <c r="I49" i="32"/>
  <c r="E18" i="32"/>
  <c r="F18" i="32" s="1"/>
  <c r="E16" i="22"/>
  <c r="F16" i="22" s="1"/>
  <c r="E20" i="22"/>
  <c r="F20" i="22" s="1"/>
  <c r="E19" i="22"/>
  <c r="F19" i="22" s="1"/>
  <c r="E17" i="32"/>
  <c r="F17" i="32" s="1"/>
  <c r="E15" i="22"/>
  <c r="F15" i="22" s="1"/>
  <c r="E11" i="32"/>
  <c r="F11" i="32" s="1"/>
  <c r="E25" i="32"/>
  <c r="F25" i="32" s="1"/>
  <c r="E10" i="32"/>
  <c r="F10" i="32" s="1"/>
  <c r="E16" i="32"/>
  <c r="F16" i="32" s="1"/>
  <c r="E9" i="32"/>
  <c r="F9" i="32" s="1"/>
  <c r="E15" i="32"/>
  <c r="F15" i="32" s="1"/>
  <c r="E14" i="32"/>
  <c r="F14" i="32" s="1"/>
  <c r="E12" i="32"/>
  <c r="F12" i="32" s="1"/>
  <c r="E24" i="22"/>
  <c r="F24" i="22" s="1"/>
  <c r="E14" i="25"/>
  <c r="F14" i="25" s="1"/>
  <c r="E23" i="22"/>
  <c r="F23" i="22" s="1"/>
  <c r="E13" i="25"/>
  <c r="F13" i="25" s="1"/>
  <c r="E12" i="25"/>
  <c r="F12" i="25" s="1"/>
  <c r="E11" i="25"/>
  <c r="F11" i="25" s="1"/>
  <c r="E21" i="22"/>
  <c r="F21" i="22" s="1"/>
  <c r="E11" i="22"/>
  <c r="F11" i="22" s="1"/>
  <c r="E16" i="25"/>
  <c r="F16" i="25" s="1"/>
  <c r="E10" i="25"/>
  <c r="F10" i="25" s="1"/>
  <c r="E18" i="22"/>
  <c r="F18" i="22" s="1"/>
  <c r="E10" i="22"/>
  <c r="F10" i="22" s="1"/>
  <c r="E15" i="25"/>
  <c r="F15" i="25" s="1"/>
  <c r="E9" i="25"/>
  <c r="F9" i="25" s="1"/>
  <c r="E17" i="22"/>
  <c r="F17" i="22" s="1"/>
  <c r="E9" i="22"/>
  <c r="F9" i="22" s="1"/>
  <c r="E14" i="22"/>
  <c r="F14" i="22" s="1"/>
  <c r="E13" i="22"/>
  <c r="F13" i="22" s="1"/>
  <c r="E22" i="22"/>
  <c r="F22" i="22" s="1"/>
  <c r="E12" i="22"/>
  <c r="F12" i="22" s="1"/>
  <c r="I39" i="31"/>
  <c r="I41" i="31"/>
  <c r="K41" i="31" s="1"/>
  <c r="I38" i="31"/>
  <c r="K38" i="31" s="1"/>
  <c r="I40" i="31"/>
  <c r="K40" i="31" s="1"/>
  <c r="E38" i="24"/>
  <c r="F38" i="24" s="1"/>
  <c r="E34" i="24"/>
  <c r="F34" i="24" s="1"/>
  <c r="E30" i="24"/>
  <c r="F30" i="24" s="1"/>
  <c r="E26" i="24"/>
  <c r="F26" i="24" s="1"/>
  <c r="E20" i="24"/>
  <c r="F20" i="24" s="1"/>
  <c r="E16" i="24"/>
  <c r="F16" i="24" s="1"/>
  <c r="E12" i="24"/>
  <c r="F12" i="24" s="1"/>
  <c r="E27" i="24"/>
  <c r="F27" i="24" s="1"/>
  <c r="E17" i="24"/>
  <c r="F17" i="24" s="1"/>
  <c r="E37" i="24"/>
  <c r="F37" i="24" s="1"/>
  <c r="E33" i="24"/>
  <c r="F33" i="24" s="1"/>
  <c r="E29" i="24"/>
  <c r="F29" i="24" s="1"/>
  <c r="E25" i="24"/>
  <c r="F25" i="24" s="1"/>
  <c r="E19" i="24"/>
  <c r="F19" i="24" s="1"/>
  <c r="E15" i="24"/>
  <c r="F15" i="24" s="1"/>
  <c r="E11" i="24"/>
  <c r="F11" i="24" s="1"/>
  <c r="E35" i="24"/>
  <c r="F35" i="24" s="1"/>
  <c r="E13" i="24"/>
  <c r="F13" i="24" s="1"/>
  <c r="E36" i="24"/>
  <c r="F36" i="24" s="1"/>
  <c r="E32" i="24"/>
  <c r="F32" i="24" s="1"/>
  <c r="E28" i="24"/>
  <c r="F28" i="24" s="1"/>
  <c r="E24" i="24"/>
  <c r="F24" i="24" s="1"/>
  <c r="E18" i="24"/>
  <c r="F18" i="24" s="1"/>
  <c r="E14" i="24"/>
  <c r="F14" i="24" s="1"/>
  <c r="E31" i="24"/>
  <c r="F31" i="24" s="1"/>
  <c r="E21" i="24"/>
  <c r="F21" i="24" s="1"/>
  <c r="E10" i="24"/>
  <c r="F10" i="24" s="1"/>
  <c r="E9" i="24"/>
  <c r="F9" i="24" s="1"/>
  <c r="K39" i="31"/>
  <c r="O29" i="31"/>
  <c r="M33" i="31"/>
  <c r="M35" i="31" s="1"/>
  <c r="M37" i="31" s="1"/>
  <c r="G24" i="32" l="1"/>
  <c r="G23" i="32"/>
  <c r="G13" i="22"/>
  <c r="G10" i="22"/>
  <c r="G11" i="25"/>
  <c r="G12" i="32"/>
  <c r="G25" i="32"/>
  <c r="G16" i="22"/>
  <c r="G20" i="32"/>
  <c r="G14" i="22"/>
  <c r="G18" i="22"/>
  <c r="G12" i="25"/>
  <c r="G14" i="32"/>
  <c r="G11" i="32"/>
  <c r="G18" i="32"/>
  <c r="G19" i="32"/>
  <c r="G21" i="32"/>
  <c r="G9" i="22"/>
  <c r="G10" i="25"/>
  <c r="G13" i="25"/>
  <c r="G15" i="32"/>
  <c r="G15" i="22"/>
  <c r="G22" i="32"/>
  <c r="G17" i="22"/>
  <c r="G16" i="25"/>
  <c r="G23" i="22"/>
  <c r="G9" i="32"/>
  <c r="G17" i="32"/>
  <c r="G13" i="32"/>
  <c r="G12" i="22"/>
  <c r="G9" i="25"/>
  <c r="G11" i="22"/>
  <c r="G14" i="25"/>
  <c r="G16" i="32"/>
  <c r="G19" i="22"/>
  <c r="G22" i="24"/>
  <c r="G22" i="22"/>
  <c r="G15" i="25"/>
  <c r="G21" i="22"/>
  <c r="G24" i="22"/>
  <c r="G10" i="32"/>
  <c r="G20" i="22"/>
  <c r="G23" i="24"/>
  <c r="G15" i="24"/>
  <c r="G13" i="24"/>
  <c r="G31" i="24"/>
  <c r="G11" i="24"/>
  <c r="G16" i="24"/>
  <c r="G34" i="24"/>
  <c r="G33" i="24"/>
  <c r="G18" i="24"/>
  <c r="G36" i="24"/>
  <c r="G25" i="24"/>
  <c r="G20" i="24"/>
  <c r="G38" i="24"/>
  <c r="G29" i="24"/>
  <c r="G17" i="24"/>
  <c r="G35" i="24"/>
  <c r="G24" i="24"/>
  <c r="G9" i="24"/>
  <c r="G21" i="24"/>
  <c r="G28" i="24"/>
  <c r="G37" i="24"/>
  <c r="G26" i="24"/>
  <c r="G12" i="24"/>
  <c r="G30" i="24"/>
  <c r="G10" i="24"/>
  <c r="G27" i="24"/>
  <c r="G19" i="24"/>
  <c r="G14" i="24"/>
  <c r="G32" i="24"/>
  <c r="M38" i="31"/>
  <c r="M41" i="31"/>
  <c r="M40" i="31"/>
  <c r="M39" i="31"/>
  <c r="O33" i="31"/>
  <c r="O35" i="31" s="1"/>
  <c r="O37" i="31" s="1"/>
  <c r="H13" i="22" s="1"/>
  <c r="Q29" i="31"/>
  <c r="Q33" i="31" s="1"/>
  <c r="Q35" i="31" s="1"/>
  <c r="H23" i="32" l="1"/>
  <c r="H24" i="32"/>
  <c r="H9" i="32"/>
  <c r="H22" i="32"/>
  <c r="H10" i="25"/>
  <c r="H14" i="32"/>
  <c r="F25" i="19"/>
  <c r="H20" i="22"/>
  <c r="H12" i="32"/>
  <c r="H9" i="25"/>
  <c r="H9" i="22"/>
  <c r="H12" i="25"/>
  <c r="H21" i="32"/>
  <c r="H18" i="22"/>
  <c r="H22" i="24"/>
  <c r="H23" i="22"/>
  <c r="H24" i="22"/>
  <c r="H16" i="22"/>
  <c r="H21" i="22"/>
  <c r="H16" i="32"/>
  <c r="H10" i="22"/>
  <c r="H17" i="22"/>
  <c r="H15" i="22"/>
  <c r="H19" i="32"/>
  <c r="H14" i="22"/>
  <c r="H19" i="22"/>
  <c r="H15" i="25"/>
  <c r="H14" i="25"/>
  <c r="H13" i="32"/>
  <c r="H20" i="32"/>
  <c r="H15" i="32"/>
  <c r="H18" i="32"/>
  <c r="H25" i="32"/>
  <c r="H10" i="32"/>
  <c r="H12" i="22"/>
  <c r="H16" i="25"/>
  <c r="H23" i="24"/>
  <c r="H22" i="22"/>
  <c r="H11" i="22"/>
  <c r="H17" i="32"/>
  <c r="H11" i="25"/>
  <c r="H13" i="25"/>
  <c r="H11" i="32"/>
  <c r="Q37" i="31"/>
  <c r="I13" i="22" s="1"/>
  <c r="H32" i="24"/>
  <c r="H27" i="24"/>
  <c r="H30" i="24"/>
  <c r="H37" i="24"/>
  <c r="H28" i="24"/>
  <c r="H21" i="24"/>
  <c r="H9" i="24"/>
  <c r="H16" i="24"/>
  <c r="H19" i="24"/>
  <c r="H35" i="24"/>
  <c r="H38" i="24"/>
  <c r="H26" i="24"/>
  <c r="H11" i="24"/>
  <c r="H31" i="24"/>
  <c r="H24" i="24"/>
  <c r="H17" i="24"/>
  <c r="H20" i="24"/>
  <c r="H36" i="24"/>
  <c r="H13" i="24"/>
  <c r="H34" i="24"/>
  <c r="H29" i="24"/>
  <c r="H18" i="24"/>
  <c r="H14" i="24"/>
  <c r="H10" i="24"/>
  <c r="H12" i="24"/>
  <c r="H15" i="24"/>
  <c r="H25" i="24"/>
  <c r="H33" i="24"/>
  <c r="O40" i="31"/>
  <c r="O41" i="31"/>
  <c r="O39" i="31"/>
  <c r="O38" i="31"/>
  <c r="I24" i="32" l="1"/>
  <c r="I23" i="32"/>
  <c r="I13" i="32"/>
  <c r="I14" i="22"/>
  <c r="I9" i="25"/>
  <c r="I11" i="32"/>
  <c r="I23" i="24"/>
  <c r="I20" i="22"/>
  <c r="I14" i="25"/>
  <c r="I19" i="32"/>
  <c r="I16" i="22"/>
  <c r="I18" i="22"/>
  <c r="I22" i="22"/>
  <c r="I9" i="32"/>
  <c r="I21" i="22"/>
  <c r="I13" i="25"/>
  <c r="I16" i="25"/>
  <c r="I25" i="32"/>
  <c r="I15" i="25"/>
  <c r="I15" i="22"/>
  <c r="I24" i="22"/>
  <c r="I21" i="32"/>
  <c r="I12" i="22"/>
  <c r="I19" i="22"/>
  <c r="I23" i="22"/>
  <c r="I10" i="32"/>
  <c r="I22" i="32"/>
  <c r="I9" i="22"/>
  <c r="I11" i="25"/>
  <c r="I18" i="32"/>
  <c r="I17" i="22"/>
  <c r="I12" i="25"/>
  <c r="I17" i="32"/>
  <c r="I15" i="32"/>
  <c r="I10" i="22"/>
  <c r="I22" i="24"/>
  <c r="I11" i="22"/>
  <c r="I14" i="32"/>
  <c r="I20" i="32"/>
  <c r="I12" i="32"/>
  <c r="I16" i="32"/>
  <c r="I10" i="25"/>
  <c r="I36" i="24"/>
  <c r="I34" i="24"/>
  <c r="Q39" i="31"/>
  <c r="I25" i="24"/>
  <c r="I10" i="24"/>
  <c r="I21" i="24"/>
  <c r="I14" i="24"/>
  <c r="I20" i="24"/>
  <c r="I11" i="24"/>
  <c r="I19" i="24"/>
  <c r="Q40" i="31"/>
  <c r="I18" i="24"/>
  <c r="I17" i="24"/>
  <c r="I26" i="24"/>
  <c r="I38" i="24"/>
  <c r="Q41" i="31"/>
  <c r="I33" i="24"/>
  <c r="I37" i="24"/>
  <c r="I24" i="24"/>
  <c r="I35" i="24"/>
  <c r="I16" i="24"/>
  <c r="I30" i="24"/>
  <c r="I15" i="24"/>
  <c r="I29" i="24"/>
  <c r="I32" i="24"/>
  <c r="I31" i="24"/>
  <c r="Q38" i="31"/>
  <c r="I12" i="24"/>
  <c r="I13" i="24"/>
  <c r="I9" i="24"/>
  <c r="I27" i="24"/>
  <c r="I28" i="24"/>
  <c r="C609" i="13"/>
  <c r="C610" i="13"/>
  <c r="C611" i="13"/>
  <c r="C612" i="13"/>
  <c r="C613" i="13"/>
  <c r="C614" i="13"/>
  <c r="D609" i="13"/>
  <c r="D610" i="13"/>
  <c r="D611" i="13"/>
  <c r="D612" i="13"/>
  <c r="D613" i="13"/>
  <c r="D614" i="13"/>
  <c r="C608" i="13" l="1"/>
  <c r="D608" i="13"/>
  <c r="D12" i="19" l="1"/>
  <c r="E12" i="19" l="1"/>
  <c r="F12" i="19" s="1"/>
  <c r="U227" i="13"/>
  <c r="Z227" i="13"/>
  <c r="AA227" i="13" s="1"/>
  <c r="C7" i="13"/>
  <c r="D7" i="13"/>
  <c r="C8" i="13"/>
  <c r="D8" i="13"/>
  <c r="C9" i="13"/>
  <c r="D9" i="13"/>
  <c r="C10" i="13"/>
  <c r="D10" i="13"/>
  <c r="C11" i="13"/>
  <c r="D11" i="13"/>
  <c r="C12" i="13"/>
  <c r="D12" i="13"/>
  <c r="C13" i="13"/>
  <c r="D13" i="13"/>
  <c r="C14" i="13"/>
  <c r="D14" i="13"/>
  <c r="C15" i="13"/>
  <c r="D15" i="13"/>
  <c r="C16" i="13"/>
  <c r="D16" i="13"/>
  <c r="C17" i="13"/>
  <c r="D17" i="13"/>
  <c r="C18" i="13"/>
  <c r="D18" i="13"/>
  <c r="C19" i="13"/>
  <c r="D19" i="13"/>
  <c r="C20" i="13"/>
  <c r="D20" i="13"/>
  <c r="C21" i="13"/>
  <c r="D21" i="13"/>
  <c r="C22" i="13"/>
  <c r="D22" i="13"/>
  <c r="C23" i="13"/>
  <c r="D23" i="13"/>
  <c r="C24" i="13"/>
  <c r="D24" i="13"/>
  <c r="C25" i="13"/>
  <c r="D25" i="13"/>
  <c r="C26" i="13"/>
  <c r="D26" i="13"/>
  <c r="C27" i="13"/>
  <c r="D27" i="13"/>
  <c r="C28" i="13"/>
  <c r="D28" i="13"/>
  <c r="C29" i="13"/>
  <c r="D29" i="13"/>
  <c r="C30" i="13"/>
  <c r="D30" i="13"/>
  <c r="C31" i="13"/>
  <c r="D31" i="13"/>
  <c r="C32" i="13"/>
  <c r="D32" i="13"/>
  <c r="C33" i="13"/>
  <c r="D33" i="13"/>
  <c r="C34" i="13"/>
  <c r="D34" i="13"/>
  <c r="C35" i="13"/>
  <c r="D35" i="13"/>
  <c r="C36" i="13"/>
  <c r="D36" i="13"/>
  <c r="C37" i="13"/>
  <c r="D37" i="13"/>
  <c r="C38" i="13"/>
  <c r="D38" i="13"/>
  <c r="C39" i="13"/>
  <c r="D39" i="13"/>
  <c r="C40" i="13"/>
  <c r="D40" i="13"/>
  <c r="C41" i="13"/>
  <c r="D41" i="13"/>
  <c r="C42" i="13"/>
  <c r="D42" i="13"/>
  <c r="C43" i="13"/>
  <c r="D43" i="13"/>
  <c r="C44" i="13"/>
  <c r="D44" i="13"/>
  <c r="C45" i="13"/>
  <c r="D45" i="13"/>
  <c r="C46" i="13"/>
  <c r="D46" i="13"/>
  <c r="C47" i="13"/>
  <c r="D47" i="13"/>
  <c r="C48" i="13"/>
  <c r="D48" i="13"/>
  <c r="C49" i="13"/>
  <c r="D49" i="13"/>
  <c r="C50" i="13"/>
  <c r="D50" i="13"/>
  <c r="C51" i="13"/>
  <c r="D51" i="13"/>
  <c r="C52" i="13"/>
  <c r="D52" i="13"/>
  <c r="C53" i="13"/>
  <c r="D53" i="13"/>
  <c r="C54" i="13"/>
  <c r="D54" i="13"/>
  <c r="C55" i="13"/>
  <c r="D55" i="13"/>
  <c r="C56" i="13"/>
  <c r="D56" i="13"/>
  <c r="C57" i="13"/>
  <c r="D57" i="13"/>
  <c r="C58" i="13"/>
  <c r="D58" i="13"/>
  <c r="C59" i="13"/>
  <c r="D59" i="13"/>
  <c r="C60" i="13"/>
  <c r="D60" i="13"/>
  <c r="C61" i="13"/>
  <c r="D61" i="13"/>
  <c r="C62" i="13"/>
  <c r="D62" i="13"/>
  <c r="C63" i="13"/>
  <c r="D63" i="13"/>
  <c r="C64" i="13"/>
  <c r="D64" i="13"/>
  <c r="C65" i="13"/>
  <c r="D65" i="13"/>
  <c r="C66" i="13"/>
  <c r="D66" i="13"/>
  <c r="C67" i="13"/>
  <c r="D67" i="13"/>
  <c r="C68" i="13"/>
  <c r="D68" i="13"/>
  <c r="C69" i="13"/>
  <c r="D69" i="13"/>
  <c r="C70" i="13"/>
  <c r="D70" i="13"/>
  <c r="C71" i="13"/>
  <c r="D71" i="13"/>
  <c r="C72" i="13"/>
  <c r="D72" i="13"/>
  <c r="C73" i="13"/>
  <c r="D73" i="13"/>
  <c r="C74" i="13"/>
  <c r="D74" i="13"/>
  <c r="C75" i="13"/>
  <c r="D75" i="13"/>
  <c r="C76" i="13"/>
  <c r="D76" i="13"/>
  <c r="C463" i="13"/>
  <c r="D463" i="13"/>
  <c r="C464" i="13"/>
  <c r="D464" i="13"/>
  <c r="C465" i="13"/>
  <c r="D465" i="13"/>
  <c r="C466" i="13"/>
  <c r="D466" i="13"/>
  <c r="C467" i="13"/>
  <c r="D467" i="13"/>
  <c r="C468" i="13"/>
  <c r="D468" i="13"/>
  <c r="C469" i="13"/>
  <c r="D469" i="13"/>
  <c r="C470" i="13"/>
  <c r="D470" i="13"/>
  <c r="C471" i="13"/>
  <c r="D471" i="13"/>
  <c r="C472" i="13"/>
  <c r="D472" i="13"/>
  <c r="C473" i="13"/>
  <c r="D473" i="13"/>
  <c r="C474" i="13"/>
  <c r="D474" i="13"/>
  <c r="C475" i="13"/>
  <c r="D475" i="13"/>
  <c r="C476" i="13"/>
  <c r="D476" i="13"/>
  <c r="C477" i="13"/>
  <c r="D477" i="13"/>
  <c r="C478" i="13"/>
  <c r="D478" i="13"/>
  <c r="C479" i="13"/>
  <c r="D479" i="13"/>
  <c r="C480" i="13"/>
  <c r="D480" i="13"/>
  <c r="C481" i="13"/>
  <c r="D481" i="13"/>
  <c r="C482" i="13"/>
  <c r="D482" i="13"/>
  <c r="C483" i="13"/>
  <c r="D483" i="13"/>
  <c r="C484" i="13"/>
  <c r="D484" i="13"/>
  <c r="C485" i="13"/>
  <c r="D485" i="13"/>
  <c r="C486" i="13"/>
  <c r="D486" i="13"/>
  <c r="C487" i="13"/>
  <c r="D487" i="13"/>
  <c r="C488" i="13"/>
  <c r="D488" i="13"/>
  <c r="C489" i="13"/>
  <c r="D489" i="13"/>
  <c r="C490" i="13"/>
  <c r="D490" i="13"/>
  <c r="C491" i="13"/>
  <c r="D491" i="13"/>
  <c r="C492" i="13"/>
  <c r="D492" i="13"/>
  <c r="C493" i="13"/>
  <c r="D493" i="13"/>
  <c r="C494" i="13"/>
  <c r="D494" i="13"/>
  <c r="C495" i="13"/>
  <c r="D495" i="13"/>
  <c r="C496" i="13"/>
  <c r="D496" i="13"/>
  <c r="C497" i="13"/>
  <c r="D497" i="13"/>
  <c r="C498" i="13"/>
  <c r="D498" i="13"/>
  <c r="C499" i="13"/>
  <c r="D499" i="13"/>
  <c r="C500" i="13"/>
  <c r="D500" i="13"/>
  <c r="C501" i="13"/>
  <c r="D501" i="13"/>
  <c r="C502" i="13"/>
  <c r="D502" i="13"/>
  <c r="C503" i="13"/>
  <c r="D503" i="13"/>
  <c r="C504" i="13"/>
  <c r="D504" i="13"/>
  <c r="C505" i="13"/>
  <c r="D505" i="13"/>
  <c r="C506" i="13"/>
  <c r="D506" i="13"/>
  <c r="C507" i="13"/>
  <c r="D507" i="13"/>
  <c r="C508" i="13"/>
  <c r="D508" i="13"/>
  <c r="C509" i="13"/>
  <c r="D509" i="13"/>
  <c r="C510" i="13"/>
  <c r="D510" i="13"/>
  <c r="C511" i="13"/>
  <c r="D511" i="13"/>
  <c r="C512" i="13"/>
  <c r="D512" i="13"/>
  <c r="C513" i="13"/>
  <c r="D513" i="13"/>
  <c r="C514" i="13"/>
  <c r="D514" i="13"/>
  <c r="C515" i="13"/>
  <c r="D515" i="13"/>
  <c r="C516" i="13"/>
  <c r="D516" i="13"/>
  <c r="C517" i="13"/>
  <c r="D517" i="13"/>
  <c r="C518" i="13"/>
  <c r="D518" i="13"/>
  <c r="C519" i="13"/>
  <c r="D519" i="13"/>
  <c r="C520" i="13"/>
  <c r="D520" i="13"/>
  <c r="C521" i="13"/>
  <c r="D521" i="13"/>
  <c r="C522" i="13"/>
  <c r="D522" i="13"/>
  <c r="C523" i="13"/>
  <c r="D523" i="13"/>
  <c r="C524" i="13"/>
  <c r="D524" i="13"/>
  <c r="C525" i="13"/>
  <c r="D525" i="13"/>
  <c r="C526" i="13"/>
  <c r="D526" i="13"/>
  <c r="C527" i="13"/>
  <c r="D527" i="13"/>
  <c r="C528" i="13"/>
  <c r="D528" i="13"/>
  <c r="C529" i="13"/>
  <c r="D529" i="13"/>
  <c r="C530" i="13"/>
  <c r="D530" i="13"/>
  <c r="C531" i="13"/>
  <c r="D531" i="13"/>
  <c r="C532" i="13"/>
  <c r="D532" i="13"/>
  <c r="C533" i="13"/>
  <c r="D533" i="13"/>
  <c r="C534" i="13"/>
  <c r="D534" i="13"/>
  <c r="C535" i="13"/>
  <c r="D535" i="13"/>
  <c r="C536" i="13"/>
  <c r="D536" i="13"/>
  <c r="C537" i="13"/>
  <c r="D537" i="13"/>
  <c r="C538" i="13"/>
  <c r="D538" i="13"/>
  <c r="C539" i="13"/>
  <c r="D539" i="13"/>
  <c r="C540" i="13"/>
  <c r="D540" i="13"/>
  <c r="C541" i="13"/>
  <c r="D541" i="13"/>
  <c r="C542" i="13"/>
  <c r="D542" i="13"/>
  <c r="C543" i="13"/>
  <c r="D543" i="13"/>
  <c r="C544" i="13"/>
  <c r="D544" i="13"/>
  <c r="C545" i="13"/>
  <c r="D545" i="13"/>
  <c r="C546" i="13"/>
  <c r="D546" i="13"/>
  <c r="C547" i="13"/>
  <c r="D547" i="13"/>
  <c r="C548" i="13"/>
  <c r="D548" i="13"/>
  <c r="C549" i="13"/>
  <c r="D549" i="13"/>
  <c r="C550" i="13"/>
  <c r="D550" i="13"/>
  <c r="C551" i="13"/>
  <c r="D551" i="13"/>
  <c r="C552" i="13"/>
  <c r="D552" i="13"/>
  <c r="C553" i="13"/>
  <c r="D553" i="13"/>
  <c r="C554" i="13"/>
  <c r="D554" i="13"/>
  <c r="C555" i="13"/>
  <c r="D555" i="13"/>
  <c r="C556" i="13"/>
  <c r="D556" i="13"/>
  <c r="C557" i="13"/>
  <c r="D557" i="13"/>
  <c r="C558" i="13"/>
  <c r="D558" i="13"/>
  <c r="C559" i="13"/>
  <c r="D559" i="13"/>
  <c r="C560" i="13"/>
  <c r="D560" i="13"/>
  <c r="C561" i="13"/>
  <c r="D561" i="13"/>
  <c r="C562" i="13"/>
  <c r="D562" i="13"/>
  <c r="C563" i="13"/>
  <c r="D563" i="13"/>
  <c r="C564" i="13"/>
  <c r="D564" i="13"/>
  <c r="C565" i="13"/>
  <c r="D565" i="13"/>
  <c r="C566" i="13"/>
  <c r="D566" i="13"/>
  <c r="C567" i="13"/>
  <c r="D567" i="13"/>
  <c r="C568" i="13"/>
  <c r="D568" i="13"/>
  <c r="C569" i="13"/>
  <c r="D569" i="13"/>
  <c r="C570" i="13"/>
  <c r="D570" i="13"/>
  <c r="C571" i="13"/>
  <c r="D571" i="13"/>
  <c r="C572" i="13"/>
  <c r="D572" i="13"/>
  <c r="C573" i="13"/>
  <c r="D573" i="13"/>
  <c r="C574" i="13"/>
  <c r="D574" i="13"/>
  <c r="C575" i="13"/>
  <c r="D575" i="13"/>
  <c r="C576" i="13"/>
  <c r="D576" i="13"/>
  <c r="C581" i="13"/>
  <c r="D581" i="13"/>
  <c r="C582" i="13"/>
  <c r="D582" i="13"/>
  <c r="C583" i="13"/>
  <c r="D583" i="13"/>
  <c r="C584" i="13"/>
  <c r="D584" i="13"/>
  <c r="C585" i="13"/>
  <c r="D585" i="13"/>
  <c r="C586" i="13"/>
  <c r="D586" i="13"/>
  <c r="C587" i="13"/>
  <c r="D587" i="13"/>
  <c r="C588" i="13"/>
  <c r="D588" i="13"/>
  <c r="C577" i="13"/>
  <c r="D577" i="13"/>
  <c r="C578" i="13"/>
  <c r="D578" i="13"/>
  <c r="C579" i="13"/>
  <c r="D579" i="13"/>
  <c r="C580" i="13"/>
  <c r="D580" i="13"/>
  <c r="C589" i="13"/>
  <c r="D589" i="13"/>
  <c r="C590" i="13"/>
  <c r="D590" i="13"/>
  <c r="C591" i="13"/>
  <c r="D591" i="13"/>
  <c r="C592" i="13"/>
  <c r="D592" i="13"/>
  <c r="C593" i="13"/>
  <c r="D593" i="13"/>
  <c r="C594" i="13"/>
  <c r="D594" i="13"/>
  <c r="C595" i="13"/>
  <c r="D595" i="13"/>
  <c r="C596" i="13"/>
  <c r="D596" i="13"/>
  <c r="C597" i="13"/>
  <c r="D597" i="13"/>
  <c r="C598" i="13"/>
  <c r="D598" i="13"/>
  <c r="C599" i="13"/>
  <c r="D599" i="13"/>
  <c r="C600" i="13"/>
  <c r="D600" i="13"/>
  <c r="C601" i="13"/>
  <c r="D601" i="13"/>
  <c r="C602" i="13"/>
  <c r="D602" i="13"/>
  <c r="C603" i="13"/>
  <c r="D603" i="13"/>
  <c r="C604" i="13"/>
  <c r="D604" i="13"/>
  <c r="C605" i="13"/>
  <c r="D605" i="13"/>
  <c r="C606" i="13"/>
  <c r="D606" i="13"/>
  <c r="C607" i="13"/>
  <c r="D607" i="13"/>
  <c r="B227" i="13"/>
  <c r="C227" i="13"/>
  <c r="D227" i="13"/>
  <c r="B238" i="13"/>
  <c r="C238" i="13"/>
  <c r="D238" i="13"/>
  <c r="B228" i="13"/>
  <c r="C228" i="13"/>
  <c r="D228" i="13"/>
  <c r="V227" i="13" l="1"/>
  <c r="AE227" i="13" s="1"/>
  <c r="D7" i="19" l="1"/>
  <c r="W227" i="13"/>
  <c r="X227" i="13" s="1"/>
  <c r="D8" i="19"/>
  <c r="D10" i="19"/>
  <c r="D11" i="19" l="1"/>
  <c r="D13" i="19"/>
  <c r="D9" i="19"/>
  <c r="AF227" i="13"/>
  <c r="E9" i="19" s="1"/>
  <c r="E13" i="19"/>
  <c r="E10" i="19"/>
  <c r="F10" i="19" s="1"/>
  <c r="E8" i="19"/>
  <c r="F8" i="19" s="1"/>
  <c r="E7" i="19" l="1"/>
  <c r="F7" i="19" s="1"/>
  <c r="E11" i="19"/>
  <c r="F11" i="19" s="1"/>
  <c r="F9" i="19"/>
  <c r="F13" i="19"/>
  <c r="C14" i="19" l="1"/>
  <c r="B234" i="13" l="1"/>
  <c r="C234" i="13"/>
  <c r="D234" i="13"/>
  <c r="B233" i="13" l="1"/>
  <c r="B236" i="13"/>
  <c r="B235" i="13"/>
  <c r="B240" i="13"/>
  <c r="B232" i="13"/>
  <c r="B230" i="13"/>
  <c r="B239" i="13"/>
  <c r="B237" i="13"/>
  <c r="B254" i="13"/>
  <c r="B253" i="13"/>
  <c r="B245" i="13"/>
  <c r="B243" i="13"/>
  <c r="B241" i="13"/>
  <c r="B242" i="13"/>
  <c r="B250" i="13"/>
  <c r="B249" i="13"/>
  <c r="B248" i="13"/>
  <c r="B247" i="13"/>
  <c r="B246" i="13"/>
  <c r="B244" i="13"/>
  <c r="B231" i="13"/>
  <c r="B229" i="13"/>
  <c r="C242" i="13"/>
  <c r="C241" i="13"/>
  <c r="C243" i="13"/>
  <c r="C245" i="13"/>
  <c r="C253" i="13"/>
  <c r="C254" i="13"/>
  <c r="C237" i="13"/>
  <c r="C239" i="13"/>
  <c r="C230" i="13"/>
  <c r="C232" i="13"/>
  <c r="C240" i="13"/>
  <c r="C235" i="13"/>
  <c r="C236" i="13"/>
  <c r="C233" i="13"/>
  <c r="D242" i="13"/>
  <c r="D241" i="13"/>
  <c r="D243" i="13"/>
  <c r="D245" i="13"/>
  <c r="D253" i="13"/>
  <c r="D254" i="13"/>
  <c r="D237" i="13"/>
  <c r="D239" i="13"/>
  <c r="D230" i="13"/>
  <c r="D232" i="13"/>
  <c r="D240" i="13"/>
  <c r="D235" i="13"/>
  <c r="D236" i="13"/>
  <c r="D233" i="13"/>
  <c r="D250" i="13"/>
  <c r="C250" i="13"/>
  <c r="D249" i="13"/>
  <c r="C249" i="13"/>
  <c r="D248" i="13"/>
  <c r="C248" i="13"/>
  <c r="D247" i="13"/>
  <c r="C247" i="13"/>
  <c r="D246" i="13"/>
  <c r="C246" i="13"/>
  <c r="D244" i="13"/>
  <c r="C244" i="13"/>
  <c r="D231" i="13"/>
  <c r="C231" i="13"/>
  <c r="D229" i="13"/>
  <c r="C229" i="13"/>
  <c r="G68" i="22" l="1"/>
  <c r="I56" i="25" l="1"/>
  <c r="E25" i="19" l="1"/>
  <c r="D25" i="19" l="1"/>
  <c r="AG227" i="13" l="1"/>
  <c r="C23" i="19" l="1"/>
  <c r="G23" i="19" s="1"/>
  <c r="G7" i="19"/>
  <c r="H7" i="19" s="1"/>
  <c r="C18" i="19"/>
  <c r="G18" i="19" s="1"/>
  <c r="G11" i="19"/>
  <c r="H11" i="19" s="1"/>
  <c r="C22" i="19"/>
  <c r="G22" i="19" s="1"/>
  <c r="C20" i="19"/>
  <c r="G20" i="19" s="1"/>
  <c r="G9" i="19"/>
  <c r="H9" i="19" s="1"/>
  <c r="G13" i="19"/>
  <c r="H13" i="19" s="1"/>
  <c r="C24" i="19"/>
  <c r="G24" i="19" s="1"/>
  <c r="C21" i="19"/>
  <c r="G21" i="19" s="1"/>
  <c r="G10" i="19"/>
  <c r="H10" i="19" s="1"/>
  <c r="G8" i="19"/>
  <c r="H8" i="19" s="1"/>
  <c r="C19" i="19"/>
  <c r="G19" i="19" s="1"/>
  <c r="G12" i="19"/>
  <c r="H12" i="19" s="1"/>
  <c r="G25" i="19" l="1"/>
  <c r="D14" i="19"/>
  <c r="E14" i="19" l="1"/>
  <c r="F14" i="19" s="1"/>
  <c r="G14" i="19"/>
  <c r="H14" i="19" l="1"/>
  <c r="C25" i="19"/>
</calcChain>
</file>

<file path=xl/sharedStrings.xml><?xml version="1.0" encoding="utf-8"?>
<sst xmlns="http://schemas.openxmlformats.org/spreadsheetml/2006/main" count="6038" uniqueCount="1407">
  <si>
    <t>1 x per maand</t>
  </si>
  <si>
    <t>5 x per week</t>
  </si>
  <si>
    <t>5w</t>
  </si>
  <si>
    <t xml:space="preserve"> </t>
  </si>
  <si>
    <t>Vakantiedagen, -toeslag, feestdagen</t>
  </si>
  <si>
    <t>Suppletie ziekengeld</t>
  </si>
  <si>
    <t>Sociale lasten</t>
  </si>
  <si>
    <t>Materialen</t>
  </si>
  <si>
    <t>Middelen</t>
  </si>
  <si>
    <t>Afschrijving machines</t>
  </si>
  <si>
    <t>Directe leiding</t>
  </si>
  <si>
    <t>Indirecte leiding</t>
  </si>
  <si>
    <t>3 x per week</t>
  </si>
  <si>
    <t>1 x per week</t>
  </si>
  <si>
    <t>2 x per week</t>
  </si>
  <si>
    <t>1w</t>
  </si>
  <si>
    <t>1m</t>
  </si>
  <si>
    <t>2w</t>
  </si>
  <si>
    <t>3w</t>
  </si>
  <si>
    <t>10w</t>
  </si>
  <si>
    <t>4w</t>
  </si>
  <si>
    <t>4 x per week</t>
  </si>
  <si>
    <t>Sanitair</t>
  </si>
  <si>
    <t>Ruimte code</t>
  </si>
  <si>
    <t>Weekend</t>
  </si>
  <si>
    <t>2ww</t>
  </si>
  <si>
    <t>1ww</t>
  </si>
  <si>
    <t>1 x per weekend</t>
  </si>
  <si>
    <t>2 x per weekend</t>
  </si>
  <si>
    <t>5 x per week met naloop</t>
  </si>
  <si>
    <t>Plaats</t>
  </si>
  <si>
    <t>Gebouw gedeelte</t>
  </si>
  <si>
    <t>Oppervlak (netto)</t>
  </si>
  <si>
    <t>Totaal</t>
  </si>
  <si>
    <t>Code</t>
  </si>
  <si>
    <t>Tariefsopbouw</t>
  </si>
  <si>
    <t>kosten / jaar</t>
  </si>
  <si>
    <t>uren / jaar</t>
  </si>
  <si>
    <t>Tapijt</t>
  </si>
  <si>
    <t>Vloer afwerking</t>
  </si>
  <si>
    <t>Entree</t>
  </si>
  <si>
    <t>Glasbewassing</t>
  </si>
  <si>
    <t>Wassen handdoeken</t>
  </si>
  <si>
    <t>Prijs per stuk</t>
  </si>
  <si>
    <t>Wassen theedoeken</t>
  </si>
  <si>
    <t>prijs per stuk</t>
  </si>
  <si>
    <t>Verwijderen kauwgom buitenterrein</t>
  </si>
  <si>
    <t>Vlek verwijderen textiele bekleding zitvlak stoelen</t>
  </si>
  <si>
    <t>Prijs per beurt</t>
  </si>
  <si>
    <t xml:space="preserve">Reinigen van plafonds </t>
  </si>
  <si>
    <t>prijs per m²</t>
  </si>
  <si>
    <t>Reinigen van vitrage</t>
  </si>
  <si>
    <t>Reinigen van kunststoflamellen</t>
  </si>
  <si>
    <t>Reinigen van stoffenlamellen</t>
  </si>
  <si>
    <t>Reinigen van horizontale kunststoflamellen (luxaflex)</t>
  </si>
  <si>
    <t xml:space="preserve">Het verwijderen van aanslag per unit incl. (de-)montage </t>
  </si>
  <si>
    <t>Het desinfecteren van alle sanitaire onderdelen</t>
  </si>
  <si>
    <t>prijs per toiletunit</t>
  </si>
  <si>
    <t xml:space="preserve">Vegen van het buitenterrein </t>
  </si>
  <si>
    <t>Magazijnen/bergingen</t>
  </si>
  <si>
    <t>Reproruimte</t>
  </si>
  <si>
    <t>Gangen/hallen</t>
  </si>
  <si>
    <t>Trappenhuizen/lift</t>
  </si>
  <si>
    <t>Niet in onderhoud</t>
  </si>
  <si>
    <t>Postcode</t>
  </si>
  <si>
    <t>Adres</t>
  </si>
  <si>
    <t>Inspectie categorie</t>
  </si>
  <si>
    <t>Schoonmaakmedewerker</t>
  </si>
  <si>
    <t>Specialist</t>
  </si>
  <si>
    <t>Meewerkend leidinggevende</t>
  </si>
  <si>
    <t>Totaal geindexeerd uurloon</t>
  </si>
  <si>
    <r>
      <t>Prijs per m</t>
    </r>
    <r>
      <rPr>
        <vertAlign val="superscript"/>
        <sz val="9"/>
        <rFont val="Verdana"/>
        <family val="2"/>
      </rPr>
      <t>2</t>
    </r>
  </si>
  <si>
    <t>Loonkosten:</t>
  </si>
  <si>
    <t>Directe kosten:</t>
  </si>
  <si>
    <t>Indirecte kosten:</t>
  </si>
  <si>
    <t>Overheadkosten</t>
  </si>
  <si>
    <t>Winst en risico</t>
  </si>
  <si>
    <t>Loon:</t>
  </si>
  <si>
    <t>Subtotaal Loonkosten</t>
  </si>
  <si>
    <t>Subtotaal Directe kosten</t>
  </si>
  <si>
    <t>Subtotaal Indirecte kosten</t>
  </si>
  <si>
    <t>% v.h. loon</t>
  </si>
  <si>
    <t>% v.h. loon incl. loonkosten</t>
  </si>
  <si>
    <t>Rekentarieven</t>
  </si>
  <si>
    <t>€</t>
  </si>
  <si>
    <t>Standaard</t>
  </si>
  <si>
    <t>Eindejaarsuitkering</t>
  </si>
  <si>
    <t>Overige directe kosten</t>
  </si>
  <si>
    <t>Overige indirecte kosten</t>
  </si>
  <si>
    <t>Overige loonkosten</t>
  </si>
  <si>
    <t>Ochtend/avond</t>
  </si>
  <si>
    <t>ma. t/m vr. 6:00 - 21:30 uur</t>
  </si>
  <si>
    <t>ma. t/m vr. 21:30 - 6:00 uur</t>
  </si>
  <si>
    <t>vr. 21:30 t/m ma. 6:00 uur</t>
  </si>
  <si>
    <t>Feestdag</t>
  </si>
  <si>
    <t>Erkende feestdagen</t>
  </si>
  <si>
    <t>Tarief 
excl. 21% BTW</t>
  </si>
  <si>
    <t>Tarief 
incl. 21% BTW</t>
  </si>
  <si>
    <t>% opslag op loonkosten</t>
  </si>
  <si>
    <t>Tarief</t>
  </si>
  <si>
    <t xml:space="preserve">Over te nemen personeel </t>
  </si>
  <si>
    <t>Totale berekende productieve ureninzet (contractjaar 1)</t>
  </si>
  <si>
    <t>Norm (5w)</t>
  </si>
  <si>
    <t>Ruimte omschrijving</t>
  </si>
  <si>
    <t>Vloersoort omschrijving</t>
  </si>
  <si>
    <t>Aanpassing norm</t>
  </si>
  <si>
    <t>T</t>
  </si>
  <si>
    <t>L</t>
  </si>
  <si>
    <t>S</t>
  </si>
  <si>
    <t>P</t>
  </si>
  <si>
    <t>Vloerafwerkingen met beschermlaag, zoals linoleum, marmoleum e.d.</t>
  </si>
  <si>
    <t>Textiele vloerafwerking, zoals tapijt, schoonloopmat, flotex e.d.</t>
  </si>
  <si>
    <t>Vloeren zonder beschermlaag, die wel behandeling nodig hebben, zoals pvc e.d.</t>
  </si>
  <si>
    <t>Aanpassing standaardnorm o.b.v. frequentie</t>
  </si>
  <si>
    <t>Frequentie omschrijving</t>
  </si>
  <si>
    <t>2,5w</t>
  </si>
  <si>
    <t>2,5 x per week (om-de-dag)</t>
  </si>
  <si>
    <t>Prestatie</t>
  </si>
  <si>
    <t>Etage</t>
  </si>
  <si>
    <t>Vloer code</t>
  </si>
  <si>
    <t>Frequentie weekend</t>
  </si>
  <si>
    <t>Aantal weken/jr</t>
  </si>
  <si>
    <t>Frequentie</t>
  </si>
  <si>
    <t>Norm (m2/uur)</t>
  </si>
  <si>
    <t>Prest. (m2 /jaar)</t>
  </si>
  <si>
    <t>Steen</t>
  </si>
  <si>
    <t>PVC</t>
  </si>
  <si>
    <t>Pantry</t>
  </si>
  <si>
    <t>Naam</t>
  </si>
  <si>
    <t>Lino</t>
  </si>
  <si>
    <t>Oppervlakte n.i.o.</t>
  </si>
  <si>
    <t>Uitvoeringen</t>
  </si>
  <si>
    <t>uren / jaar werkdagen</t>
  </si>
  <si>
    <t>kosten / jaar werkdagen</t>
  </si>
  <si>
    <t>Uitvoeringen werkdagen</t>
  </si>
  <si>
    <t>Norm (m2/uur) werkdagen</t>
  </si>
  <si>
    <t>Prest. (m2 /jaar) werkdagen</t>
  </si>
  <si>
    <t>Norm (m2/uur) weekend</t>
  </si>
  <si>
    <t>Prest. (m2 /jaar) weekend</t>
  </si>
  <si>
    <t>uren / jaar weekend</t>
  </si>
  <si>
    <t>kosten / jaar weekend</t>
  </si>
  <si>
    <t>Uitvoeringen weekend</t>
  </si>
  <si>
    <t>Locatie</t>
  </si>
  <si>
    <t>Glassoort/voorziening</t>
  </si>
  <si>
    <t>Kosten/jaar excl. BTW</t>
  </si>
  <si>
    <t>Gevelglas buitenzijde</t>
  </si>
  <si>
    <t>Prijs per m2 per beurt</t>
  </si>
  <si>
    <t>Separatieglas (enkel gemeten, dubbel te wassen)</t>
  </si>
  <si>
    <t>Eenheid</t>
  </si>
  <si>
    <t>Prijs</t>
  </si>
  <si>
    <t>Hoogwerker buiten max 12 meter</t>
  </si>
  <si>
    <t>Hoogwerker buiten max 16 meter</t>
  </si>
  <si>
    <t>Hoogwerker buiten max 20 meter</t>
  </si>
  <si>
    <t>Oppervlakte of dagen</t>
  </si>
  <si>
    <t>H1</t>
  </si>
  <si>
    <t>H2</t>
  </si>
  <si>
    <t>H3</t>
  </si>
  <si>
    <t>Werkzaamheden</t>
  </si>
  <si>
    <t>Prijs per m2 per beurt, incl. in- en uitruimen</t>
  </si>
  <si>
    <t>Prijs per m2 per beurt, incl. in- en uitruimen, minimaal 2 lagen, kruislings</t>
  </si>
  <si>
    <t>Vloersoort</t>
  </si>
  <si>
    <t>Oppervlakte</t>
  </si>
  <si>
    <t>Sprayen/opblokken</t>
  </si>
  <si>
    <t>Diepstrippen, sealen en conserveren</t>
  </si>
  <si>
    <t>Schuren en lakken houten vloer</t>
  </si>
  <si>
    <t>Frequentie (uitv./jaar)</t>
  </si>
  <si>
    <t>Handmatig schrobben en droogzuigen</t>
  </si>
  <si>
    <t>Vloeronderhoud</t>
  </si>
  <si>
    <t>Ruimtestaat</t>
  </si>
  <si>
    <t>Oppervlakte i/o</t>
  </si>
  <si>
    <t>Uren / jaar</t>
  </si>
  <si>
    <t>Kosten / jaar</t>
  </si>
  <si>
    <t>Kosten / m2</t>
  </si>
  <si>
    <t>Glasbewassing
Kosten / jaar</t>
  </si>
  <si>
    <t>Vloeronderhoud
Kosten / jaar</t>
  </si>
  <si>
    <t>Totalisatie (excl. BTW)</t>
  </si>
  <si>
    <t>Kolom1</t>
  </si>
  <si>
    <t>Schoonmaakonderhoud
Kosten / jaar</t>
  </si>
  <si>
    <t>Prijs excl. BTW</t>
  </si>
  <si>
    <t xml:space="preserve">Aan genoemde aantallen kunnen geen rechten worden ontleend. </t>
  </si>
  <si>
    <t>Regie- en afroepwerkzaamheden</t>
  </si>
  <si>
    <t>Genoemde aantallen zijn fictief en dienen om een vergelijkingsprijs op te stellen</t>
  </si>
  <si>
    <t>Werkzaamheid</t>
  </si>
  <si>
    <t>Prijs per uur</t>
  </si>
  <si>
    <t>Regiewerkzaamheden (schoonmaakonderhoud, ma-vr. tussen 6:00 en 21:30)</t>
  </si>
  <si>
    <t>Specialistische regiewerkzaamheden  (ma-vr. tussen 6:00 en 21:30)</t>
  </si>
  <si>
    <t>Cateringwerkzaamheden (ma-vr. tussen 6:00 en 21:30)</t>
  </si>
  <si>
    <t>Prijs per stuk per beurt</t>
  </si>
  <si>
    <t>Vaatwasser inruimen, activeren en uitruimen</t>
  </si>
  <si>
    <t>Reinigen koelkast binnen- en buitenzijde</t>
  </si>
  <si>
    <t>Reinigen van magnetron binnen- en buitenzijde</t>
  </si>
  <si>
    <t>Reinigen van koffieautomaat binnen- en buitenzijde</t>
  </si>
  <si>
    <t>Calamiteitenservice inclusief materialen en middelen</t>
  </si>
  <si>
    <t>Buiten</t>
  </si>
  <si>
    <t>Intensief reinigen voegen tegelwanden</t>
  </si>
  <si>
    <r>
      <t>Prijs per m</t>
    </r>
    <r>
      <rPr>
        <vertAlign val="superscript"/>
        <sz val="9"/>
        <rFont val="Verdana"/>
        <family val="2"/>
      </rPr>
      <t xml:space="preserve">2 </t>
    </r>
    <r>
      <rPr>
        <sz val="9"/>
        <rFont val="Verdana"/>
        <family val="2"/>
      </rPr>
      <t>per beurt</t>
    </r>
  </si>
  <si>
    <t>Regie per uur</t>
  </si>
  <si>
    <t>De opgegeven prijzen zijn tijdens de gehele contractduur van toepassing als afroepprijs.</t>
  </si>
  <si>
    <t>Machinaal schrobben en droogzuigen</t>
  </si>
  <si>
    <t>Textiel reinigen</t>
  </si>
  <si>
    <t>Dieptereiniging sanitair</t>
  </si>
  <si>
    <t>Fantomatten sanitaire ruimte</t>
  </si>
  <si>
    <t>Stoomreinigen sanitaire ruimte</t>
  </si>
  <si>
    <t>Klein technisch onderhoud, verhelpen techische gebreken</t>
  </si>
  <si>
    <t>Wanden en plafonds</t>
  </si>
  <si>
    <t>Kolom2</t>
  </si>
  <si>
    <t>Inspectiecategorie</t>
  </si>
  <si>
    <t>Gemiddeld brutoloon</t>
  </si>
  <si>
    <t>Code Locatie</t>
  </si>
  <si>
    <t>Code Taak</t>
  </si>
  <si>
    <t>Code taak</t>
  </si>
  <si>
    <t>Omschrijving2</t>
  </si>
  <si>
    <r>
      <rPr>
        <b/>
        <sz val="9"/>
        <rFont val="Verdana"/>
        <family val="2"/>
      </rPr>
      <t>Alle</t>
    </r>
    <r>
      <rPr>
        <sz val="9"/>
        <rFont val="Verdana"/>
        <family val="2"/>
      </rPr>
      <t xml:space="preserve"> groen gearceerde velden dienen ingevuld te worden, overige cellen mogen niet gewijzigd worden</t>
    </r>
  </si>
  <si>
    <t>Alle groen gearceerde velden dienen ingevuld te worden, overige cellen mogen niet gewijzigd worden</t>
  </si>
  <si>
    <r>
      <t xml:space="preserve">Alle </t>
    </r>
    <r>
      <rPr>
        <sz val="9"/>
        <rFont val="Verdana"/>
        <family val="2"/>
      </rPr>
      <t>groen gearceerde velden dienen ingevuld te worden, overige cellen mogen niet gewijzigd worden</t>
    </r>
  </si>
  <si>
    <t>Totalisatie</t>
  </si>
  <si>
    <t>Totaalprijs
Kosten / jaar</t>
  </si>
  <si>
    <t>Locaties</t>
  </si>
  <si>
    <t>Rechtsgeldig ondertekening</t>
  </si>
  <si>
    <t>Functie</t>
  </si>
  <si>
    <t>Plaats, datum</t>
  </si>
  <si>
    <t>Handtekening</t>
  </si>
  <si>
    <t>Naam Inschrijver:</t>
  </si>
  <si>
    <t>% van de prod. uren</t>
  </si>
  <si>
    <t>Samenvatting schoonmaakonderhoud</t>
  </si>
  <si>
    <t>prijs per toiletunit*</t>
  </si>
  <si>
    <t>* zie tabblad Werkprogramma voor definities</t>
  </si>
  <si>
    <r>
      <t>Alle groen gearceerde velden dienen ingevuld te worden, overige cellen mogen niet gewijzigd worden (</t>
    </r>
    <r>
      <rPr>
        <sz val="9"/>
        <rFont val="Verdana"/>
        <family val="2"/>
      </rPr>
      <t>m.u.v. de tabel Rechtsgeldige Ondertekening), waar alle stippellijnen ingevuld dienen te worden)</t>
    </r>
  </si>
  <si>
    <t>……………</t>
  </si>
  <si>
    <t>Lichtkoepels (enkel gemeten, dubbel te wassen)</t>
  </si>
  <si>
    <t>Gevelglas binnenzijde</t>
  </si>
  <si>
    <t>Dakglas (enkel gemeten, dubbel te wassen)</t>
  </si>
  <si>
    <t>V  (Verkeersruimte)</t>
  </si>
  <si>
    <t>S  (Sanitair)</t>
  </si>
  <si>
    <t>L  (Lesruimte)</t>
  </si>
  <si>
    <t>B  (Bureauruimte)</t>
  </si>
  <si>
    <t>Sp  (Sportruimte)</t>
  </si>
  <si>
    <t>De opgegeven prijzen zijn tijdens de gehele contractduur van toepassing als all-in afroepprijs.</t>
  </si>
  <si>
    <t>Aanpassing standaardnorm schoonmaakonderhoud o.b.v. locatie</t>
  </si>
  <si>
    <t>Standaardnorm schoonmaakonderhoud per ruimtegroep / werkprogramma</t>
  </si>
  <si>
    <t>Aanpassing standaardnorm schoonmaakonderhoud o.b.v. vloersoort</t>
  </si>
  <si>
    <t>Volledig reinigen kunststofwanden (maximaal 6 meter hoog)</t>
  </si>
  <si>
    <t>Volledig reinigen geschilderde wanden (maximaal 6 meter hoog)</t>
  </si>
  <si>
    <t>Volledig reinigen tegelwanden (maximaal 6 meter hoog)</t>
  </si>
  <si>
    <t xml:space="preserve">Opdrachtgever heeft tijdens de gehele contractduur het recht frequenties en uitvoermomenten aan te passen of werkzaamheden aan derden uit te besteden. </t>
  </si>
  <si>
    <t>Werkdagen</t>
  </si>
  <si>
    <t>Weekenddagen</t>
  </si>
  <si>
    <t>Totaal (werkdagen + weekenddagen</t>
  </si>
  <si>
    <t>Reinigen van keukenkastjes binnen- en buitenzijde</t>
  </si>
  <si>
    <t>Vloersoort / toelichting</t>
  </si>
  <si>
    <t>Garderobe</t>
  </si>
  <si>
    <t>Prijs per strekkende meter, incl materialen en middelen</t>
  </si>
  <si>
    <t>H4</t>
  </si>
  <si>
    <t>Spinhoogwerker</t>
  </si>
  <si>
    <t>Opmerking 1</t>
  </si>
  <si>
    <t>Vliesgevel/boeiboord/damwand</t>
  </si>
  <si>
    <t>Trespabeplating</t>
  </si>
  <si>
    <t>Geboorte- datum</t>
  </si>
  <si>
    <t>Branche datum</t>
  </si>
  <si>
    <t>Soort  contract</t>
  </si>
  <si>
    <t>&gt; 1,5 jaar op object?</t>
  </si>
  <si>
    <t>Functiecode</t>
  </si>
  <si>
    <t>Loongroep</t>
  </si>
  <si>
    <t>Basis-uurloon</t>
  </si>
  <si>
    <t>OT Dienstjaren</t>
  </si>
  <si>
    <t>VET toeslag</t>
  </si>
  <si>
    <t>Pers. Toeslag</t>
  </si>
  <si>
    <t>Reiskosten boven CAO voor 31-12-2007 afgesproken</t>
  </si>
  <si>
    <t>In het bezit van basisvak-diploma? Ja/Nee</t>
  </si>
  <si>
    <t>Lift</t>
  </si>
  <si>
    <t>Linoleum</t>
  </si>
  <si>
    <t>Opleverstaat schoonmaak</t>
  </si>
  <si>
    <t>Element</t>
  </si>
  <si>
    <t>Onderdeel</t>
  </si>
  <si>
    <t>Reinheidsniveau</t>
  </si>
  <si>
    <t>Acceptabel</t>
  </si>
  <si>
    <t>(dagelijks toegestane afwijking)</t>
  </si>
  <si>
    <t>Inventaris :</t>
  </si>
  <si>
    <t>Algemeen</t>
  </si>
  <si>
    <t xml:space="preserve">Aanrechtblad </t>
  </si>
  <si>
    <t>Geheel buitenzijde</t>
  </si>
  <si>
    <t>Stof-, vlek-, aanslag en streepvrij</t>
  </si>
  <si>
    <t>Lichte stofvorming, enkele vingertasten en zichtbare vlekken max. 1 tot 3 st.</t>
  </si>
  <si>
    <t>Audiovisuele middelen</t>
  </si>
  <si>
    <t>Lichte stofvorming bovenzijde</t>
  </si>
  <si>
    <t>Afvalbak/prullenbak</t>
  </si>
  <si>
    <t>Inhoud, plastic zak</t>
  </si>
  <si>
    <t>Inhoud geleegd, schone plastic zak aanwezig. Afwezigheid van fruitvliegjes</t>
  </si>
  <si>
    <t>Lichte stofvorming, enkele vinger tasten of kleine zichtbare vlekken max 3 tot 7 st.</t>
  </si>
  <si>
    <t>Geheel</t>
  </si>
  <si>
    <t>Stof-, vlek-, aanslag en streepvrij. Afwezigheid van fruitvliegjes.</t>
  </si>
  <si>
    <t>Afval</t>
  </si>
  <si>
    <t>Afgevoerd naar containers</t>
  </si>
  <si>
    <t>Balie</t>
  </si>
  <si>
    <t>Enkele vinger tasten of kleine zichtbare vlekken max 1 tot 3 st.</t>
  </si>
  <si>
    <t>Brandblusapparatuur</t>
  </si>
  <si>
    <t>Lichte stofvorming</t>
  </si>
  <si>
    <t>Bureau/Tafel/Incl. onderlegger</t>
  </si>
  <si>
    <t>Enkele vinger tasten of kleine zichtbare vlekken, max. 3 tot 7 st.</t>
  </si>
  <si>
    <t>Bureaulamp</t>
  </si>
  <si>
    <t>Enkele vinger tasten of kleine zichtbare vlekken, max. 3 tot 7 st., lichte stofvorming op voetlamp</t>
  </si>
  <si>
    <t>Kapstok/Garderoberek</t>
  </si>
  <si>
    <t>Lichte stofvorming, enkele vinger tasten en zichtbare vlekken max. 1 tot 3 st.</t>
  </si>
  <si>
    <t>Kast hoog</t>
  </si>
  <si>
    <t>Lichte stofvorming bovenzijde, enkele vinger tasten of kleine zichtbare vlekken max 3 tot 7 st.</t>
  </si>
  <si>
    <t>Kast laag/Ladenblok</t>
  </si>
  <si>
    <t>Enkele vinger tasten of kleine zichtbare vlekken, max. 3 tot 7 st</t>
  </si>
  <si>
    <t>Lampen</t>
  </si>
  <si>
    <t>Locker</t>
  </si>
  <si>
    <t>Papierbak</t>
  </si>
  <si>
    <t>Inhoud</t>
  </si>
  <si>
    <t>Inhoud geleegd, stof en vlekvrij</t>
  </si>
  <si>
    <t>PC, incl. toebehoren</t>
  </si>
  <si>
    <t>Lichte stofvorming bovenzijde, enkele vinger tasten en kleine zichtbare vlekken max. 1 tot 3 st.</t>
  </si>
  <si>
    <t>Plantenbak</t>
  </si>
  <si>
    <t>Enkele vinger tasten of kleine zichtbare vlekken max. 3 tot 7 st., enkele schopstrepen max. 3 tot 7 st.</t>
  </si>
  <si>
    <t>Plinten/kabelgoten</t>
  </si>
  <si>
    <t>Lichte stofvorming bovenzijde, enkele vinger tasten of zichtbare vlekken max 7 tot 10 st., enkele schopstrepen max. 3 tot 7 st</t>
  </si>
  <si>
    <t>Printer/copier</t>
  </si>
  <si>
    <t>Stoel/bank/kruk</t>
  </si>
  <si>
    <t>Licht stofvorming in naden, enkele vinger tasten of kleine zichtbare vlekken max. 3 tot 7 st. op achterzijde leuning</t>
  </si>
  <si>
    <t>Telefoon</t>
  </si>
  <si>
    <t>Vitrinekast</t>
  </si>
  <si>
    <t>Whiteboard/Schoolbord/Krijtrichel</t>
  </si>
  <si>
    <t>Alle bouwdelen dienen vrij te zijn van: stickers, lijmresten en kauwgom.</t>
  </si>
  <si>
    <t>Deur/deurglas</t>
  </si>
  <si>
    <t>Enkele vinger tasten of kleine zichtbare vlekken max. 7 tot 10 stuks, enkele schopstrepen max. 1 tot 3 st.</t>
  </si>
  <si>
    <t>Glas binnenzijde</t>
  </si>
  <si>
    <t>Enkele vinger tasten of kleine zichtbare vlekken max. 3 tot 7 st.</t>
  </si>
  <si>
    <t>Kabelgoot</t>
  </si>
  <si>
    <t>Lichte stofvorming bovenzijde, enkele vinger tasten of zichtbare vlekken max 7 tot 10 st., enkele schopstrepen max. 3 tot 7 st.</t>
  </si>
  <si>
    <t>Lichte stofvorming bovenzijde, enkele vinger tasten of kleine zichtbare vlekken max 1 tot 3 st.</t>
  </si>
  <si>
    <t>Plafond</t>
  </si>
  <si>
    <t>Geen zichtbare spinrag, lichte stofvorming en kleine zichtbare vlekken max. 3 stuks</t>
  </si>
  <si>
    <t>Plafond rooster</t>
  </si>
  <si>
    <t>Radiator/convectorkast/paneel</t>
  </si>
  <si>
    <t>Randen</t>
  </si>
  <si>
    <t>Enkele vinger tasten of kleine zichtbare vlekken max. 1 tot 3 st., enkele schopstrepen max. 1 tot 3 st</t>
  </si>
  <si>
    <t>Richels</t>
  </si>
  <si>
    <t>Lichte stofvorming, enkele vinger tasten of kleine zichtbare vlekken max. 3 tot 7 st., enkele schopstrepen max. 3 tot 7 st.</t>
  </si>
  <si>
    <t>Trapleuning / balustrade</t>
  </si>
  <si>
    <t>Lichte stofvorming bovenzijde, enkele vinger tasten of kleine zichtbare vlekken max 1 tot 3 st</t>
  </si>
  <si>
    <t>Vensterbank</t>
  </si>
  <si>
    <t>Ventilatierooster</t>
  </si>
  <si>
    <t>Verlichtingsarmatuur en buizen &lt; 2.00 m</t>
  </si>
  <si>
    <t>Wanden</t>
  </si>
  <si>
    <t>Enkele vingertasten of kleine zichtbare vlekken max. 3 tot 7 st., enkele schopstrepen max. 3 tot 7 st., geen vlekken en schopstrepen tot om 3,5m hoogte</t>
  </si>
  <si>
    <t>Sanitaire elementen:</t>
  </si>
  <si>
    <t xml:space="preserve">Alle sanitaire elementen dienen vrij te zijn van: stickers, lijmresten, kauwgom, zeepresten en huidvetten. </t>
  </si>
  <si>
    <t>Aut. handdoek/zeep/lucht</t>
  </si>
  <si>
    <t>Stof-, vlek-, aanslag en streepvrij en bijgevuld</t>
  </si>
  <si>
    <t>Lichte stofvorming bovenzijde, enkele vinger tasten of zichtbare vlekken max. 3 tot 7 st.</t>
  </si>
  <si>
    <t>Borstel- en borstelhouder</t>
  </si>
  <si>
    <t>Lichte stofvorming bovenzijde, enkele vinger tasten of zichtbare vlekken max. 7 tot 10 st</t>
  </si>
  <si>
    <t>Doorspoelinstallatie</t>
  </si>
  <si>
    <t>Enkele vinger tasten of zichtbare vlekken max. 1 tot 3 st.</t>
  </si>
  <si>
    <t>Handgreep/steun</t>
  </si>
  <si>
    <t>Hygienebox</t>
  </si>
  <si>
    <t>Schaam-tussenschot</t>
  </si>
  <si>
    <t>Spiegel</t>
  </si>
  <si>
    <t>Toiletpot-bril/Urinoir/Doorspoelinst.</t>
  </si>
  <si>
    <t>Enkele zichtbare vlekken max. 3 tot 7 st.</t>
  </si>
  <si>
    <t>Toiletrolhouder</t>
  </si>
  <si>
    <t>Lichte stofvorming bovenzijde, enkele vinger tasten of zichtbare vlekken max. 7 tot 10 st.</t>
  </si>
  <si>
    <t>Wand sanitair/Planchet</t>
  </si>
  <si>
    <t>Wastafel</t>
  </si>
  <si>
    <t>Vloer :</t>
  </si>
  <si>
    <t>Harde vloeren (steen / pvc)</t>
  </si>
  <si>
    <t>Bureaukamers</t>
  </si>
  <si>
    <t>Grofvuil-, stof-, vlek-, aanslag en streepvrij. Geen schopstrepen</t>
  </si>
  <si>
    <t>Geen losliggend en/of zichtbaar vuil en enkele zichtbare vlekken max 8 st</t>
  </si>
  <si>
    <t>Leslokalen</t>
  </si>
  <si>
    <t>Verkeersruimte</t>
  </si>
  <si>
    <t xml:space="preserve">Geen losliggend en/of zichtbaar vuil en enkele zichtbare vlekken max 10 st.  </t>
  </si>
  <si>
    <t xml:space="preserve">Geen losliggend en/of zichtbaar vuil en enkele zichtbare vlekken max 1 st.  </t>
  </si>
  <si>
    <t>Grofvuil-, stof-, vlekvrij</t>
  </si>
  <si>
    <t>Harde vloeren zonder extra behandeling, zoals steen, beton e.d.</t>
  </si>
  <si>
    <t>Vergader/spreekkamers</t>
  </si>
  <si>
    <t>Gemiddelde
indexering</t>
  </si>
  <si>
    <t>CBS index</t>
  </si>
  <si>
    <t>CAO</t>
  </si>
  <si>
    <t>Tarief excl btw</t>
  </si>
  <si>
    <t>Percentage</t>
  </si>
  <si>
    <t>Soort indexatie</t>
  </si>
  <si>
    <t>Indexatie</t>
  </si>
  <si>
    <t>Topstrippen en conserveren</t>
  </si>
  <si>
    <t>Tapijtreinigen, sproei-extractiemethode</t>
  </si>
  <si>
    <t>Tapijtreinigen, poedermethode</t>
  </si>
  <si>
    <t>Multifunctionele ruimte</t>
  </si>
  <si>
    <t>Sport ruimten</t>
  </si>
  <si>
    <t>Opmerking</t>
  </si>
  <si>
    <t>……………………………………………………</t>
  </si>
  <si>
    <t>Ruimte- 
nummer</t>
  </si>
  <si>
    <r>
      <t xml:space="preserve">Alle groen gearceerde velden dienen ingevuld te worden, overige cellen mogen niet gewijzigd worden    </t>
    </r>
    <r>
      <rPr>
        <b/>
        <sz val="9"/>
        <color rgb="FFFF0000"/>
        <rFont val="Verdana"/>
        <family val="2"/>
      </rPr>
      <t xml:space="preserve"> </t>
    </r>
  </si>
  <si>
    <t>2023</t>
  </si>
  <si>
    <t>2024</t>
  </si>
  <si>
    <t>2025</t>
  </si>
  <si>
    <t>2026</t>
  </si>
  <si>
    <t>Leliestraat 1</t>
  </si>
  <si>
    <t>Oldenzaal</t>
  </si>
  <si>
    <t>Oranjestraat 2</t>
  </si>
  <si>
    <t>Losser</t>
  </si>
  <si>
    <t>Denekamp</t>
  </si>
  <si>
    <t xml:space="preserve">Lyceumstraat </t>
  </si>
  <si>
    <t>Lyceumstraat 36</t>
  </si>
  <si>
    <t>Potskampstraat 2</t>
  </si>
  <si>
    <t>Thijlaan 30</t>
  </si>
  <si>
    <t>0.01</t>
  </si>
  <si>
    <t>0.02</t>
  </si>
  <si>
    <t>gasmeter</t>
  </si>
  <si>
    <t>0.03</t>
  </si>
  <si>
    <t>0.04</t>
  </si>
  <si>
    <t>0.05</t>
  </si>
  <si>
    <t>0.06</t>
  </si>
  <si>
    <t>Gang</t>
  </si>
  <si>
    <t>0.07</t>
  </si>
  <si>
    <t>0.08</t>
  </si>
  <si>
    <t>Toilet</t>
  </si>
  <si>
    <t>0.09</t>
  </si>
  <si>
    <t>0.10</t>
  </si>
  <si>
    <t>Docent</t>
  </si>
  <si>
    <t>0.11</t>
  </si>
  <si>
    <t>Winkel</t>
  </si>
  <si>
    <t>0.12</t>
  </si>
  <si>
    <t>Concierge</t>
  </si>
  <si>
    <t>0.13</t>
  </si>
  <si>
    <t>0.14</t>
  </si>
  <si>
    <t>0.15</t>
  </si>
  <si>
    <t>Keuken</t>
  </si>
  <si>
    <t>0.16</t>
  </si>
  <si>
    <t>Spoelkeuken</t>
  </si>
  <si>
    <t>0.17</t>
  </si>
  <si>
    <t>0.19</t>
  </si>
  <si>
    <t>Eetkamer</t>
  </si>
  <si>
    <t>0.20</t>
  </si>
  <si>
    <t>0.21</t>
  </si>
  <si>
    <t>0.22</t>
  </si>
  <si>
    <t>Kleedruimte</t>
  </si>
  <si>
    <t>0.24</t>
  </si>
  <si>
    <t>0.25</t>
  </si>
  <si>
    <t>0.26</t>
  </si>
  <si>
    <t>0.27</t>
  </si>
  <si>
    <t>Berging</t>
  </si>
  <si>
    <t>0.28</t>
  </si>
  <si>
    <t>0.29</t>
  </si>
  <si>
    <t>0.32</t>
  </si>
  <si>
    <t>0.34</t>
  </si>
  <si>
    <t>0.35</t>
  </si>
  <si>
    <t>Magazijn</t>
  </si>
  <si>
    <t>0.36</t>
  </si>
  <si>
    <t>0.37</t>
  </si>
  <si>
    <t>0.38</t>
  </si>
  <si>
    <t>0.39</t>
  </si>
  <si>
    <t>0.40</t>
  </si>
  <si>
    <t>0.45</t>
  </si>
  <si>
    <t>Huishoudkunde</t>
  </si>
  <si>
    <t>0.46</t>
  </si>
  <si>
    <t>0.48</t>
  </si>
  <si>
    <t>0.49</t>
  </si>
  <si>
    <t>0.51</t>
  </si>
  <si>
    <t>0.52</t>
  </si>
  <si>
    <t>0.53</t>
  </si>
  <si>
    <t>1.01</t>
  </si>
  <si>
    <t>1.02</t>
  </si>
  <si>
    <t>1.03</t>
  </si>
  <si>
    <t>Theorielokaal</t>
  </si>
  <si>
    <t>1.04</t>
  </si>
  <si>
    <t>1.05</t>
  </si>
  <si>
    <t>Thuisbasis</t>
  </si>
  <si>
    <t>1.06</t>
  </si>
  <si>
    <t>1.07</t>
  </si>
  <si>
    <t>1.08</t>
  </si>
  <si>
    <t>1.09</t>
  </si>
  <si>
    <t>Traphal</t>
  </si>
  <si>
    <t>1.11</t>
  </si>
  <si>
    <t>1.12</t>
  </si>
  <si>
    <t>Spreekkamer</t>
  </si>
  <si>
    <t>1.13</t>
  </si>
  <si>
    <t>1.14</t>
  </si>
  <si>
    <t>1.15</t>
  </si>
  <si>
    <t>Toiletten</t>
  </si>
  <si>
    <t>1.16</t>
  </si>
  <si>
    <t>1.17</t>
  </si>
  <si>
    <t>1.18</t>
  </si>
  <si>
    <t>Docentenkamer</t>
  </si>
  <si>
    <t>1.19</t>
  </si>
  <si>
    <t>1.20</t>
  </si>
  <si>
    <t>1.21</t>
  </si>
  <si>
    <t>1.22</t>
  </si>
  <si>
    <t>1.23</t>
  </si>
  <si>
    <t>1.24</t>
  </si>
  <si>
    <t>1.25</t>
  </si>
  <si>
    <t>1.27</t>
  </si>
  <si>
    <t>1.28</t>
  </si>
  <si>
    <t>1.29</t>
  </si>
  <si>
    <t>1.30</t>
  </si>
  <si>
    <t>1.31</t>
  </si>
  <si>
    <t>1.32</t>
  </si>
  <si>
    <t>1.33</t>
  </si>
  <si>
    <t>1.34</t>
  </si>
  <si>
    <t>Trap</t>
  </si>
  <si>
    <t>lokaal</t>
  </si>
  <si>
    <t>lokaal mens en techniek</t>
  </si>
  <si>
    <t>B11</t>
  </si>
  <si>
    <t>B9</t>
  </si>
  <si>
    <t>X01</t>
  </si>
  <si>
    <t>X02</t>
  </si>
  <si>
    <t>X03</t>
  </si>
  <si>
    <t>X04</t>
  </si>
  <si>
    <t>toilet</t>
  </si>
  <si>
    <t>X05</t>
  </si>
  <si>
    <t>X06</t>
  </si>
  <si>
    <t>X07</t>
  </si>
  <si>
    <t>toilet dames</t>
  </si>
  <si>
    <t>X08</t>
  </si>
  <si>
    <t>toilet heren</t>
  </si>
  <si>
    <t>X08a</t>
  </si>
  <si>
    <t>X10</t>
  </si>
  <si>
    <t>X11</t>
  </si>
  <si>
    <t>X12</t>
  </si>
  <si>
    <t>X13</t>
  </si>
  <si>
    <t>docentenkamer</t>
  </si>
  <si>
    <t>X14</t>
  </si>
  <si>
    <t>berging</t>
  </si>
  <si>
    <t>X15</t>
  </si>
  <si>
    <t>X16</t>
  </si>
  <si>
    <t>X17</t>
  </si>
  <si>
    <t>X18</t>
  </si>
  <si>
    <t>X19</t>
  </si>
  <si>
    <t>X20</t>
  </si>
  <si>
    <t>X21</t>
  </si>
  <si>
    <t>X22</t>
  </si>
  <si>
    <t>X23</t>
  </si>
  <si>
    <t>X24</t>
  </si>
  <si>
    <t>X25</t>
  </si>
  <si>
    <t>X27</t>
  </si>
  <si>
    <t>X28</t>
  </si>
  <si>
    <t>Roostermaker</t>
  </si>
  <si>
    <t>X29</t>
  </si>
  <si>
    <t>keuken</t>
  </si>
  <si>
    <t>X30</t>
  </si>
  <si>
    <t>X31</t>
  </si>
  <si>
    <t>X32</t>
  </si>
  <si>
    <t>X34</t>
  </si>
  <si>
    <t>X35</t>
  </si>
  <si>
    <t>X36</t>
  </si>
  <si>
    <t>X37</t>
  </si>
  <si>
    <t>X38</t>
  </si>
  <si>
    <t>X39</t>
  </si>
  <si>
    <t>gang</t>
  </si>
  <si>
    <t>X39a</t>
  </si>
  <si>
    <t>X40</t>
  </si>
  <si>
    <t>X41</t>
  </si>
  <si>
    <t>werkkast</t>
  </si>
  <si>
    <t>X42</t>
  </si>
  <si>
    <t>X43</t>
  </si>
  <si>
    <t>X44</t>
  </si>
  <si>
    <t>kantoor</t>
  </si>
  <si>
    <t>X45</t>
  </si>
  <si>
    <t>X46</t>
  </si>
  <si>
    <t>X47</t>
  </si>
  <si>
    <t>X48</t>
  </si>
  <si>
    <t>X49</t>
  </si>
  <si>
    <t>X49a</t>
  </si>
  <si>
    <t>X50</t>
  </si>
  <si>
    <t>X51</t>
  </si>
  <si>
    <t>X52</t>
  </si>
  <si>
    <t>X53</t>
  </si>
  <si>
    <t>X55</t>
  </si>
  <si>
    <t>X55a</t>
  </si>
  <si>
    <t>X57</t>
  </si>
  <si>
    <t>Decaan</t>
  </si>
  <si>
    <t>X58</t>
  </si>
  <si>
    <t>X59</t>
  </si>
  <si>
    <t>X60</t>
  </si>
  <si>
    <t>X60a</t>
  </si>
  <si>
    <t>X61</t>
  </si>
  <si>
    <t>X62</t>
  </si>
  <si>
    <t>X63</t>
  </si>
  <si>
    <t>X64</t>
  </si>
  <si>
    <t>X65</t>
  </si>
  <si>
    <t>spreekkamer</t>
  </si>
  <si>
    <t>X66</t>
  </si>
  <si>
    <t>X67</t>
  </si>
  <si>
    <t>Docenten werkplekken</t>
  </si>
  <si>
    <t>X68</t>
  </si>
  <si>
    <t>X69</t>
  </si>
  <si>
    <t>X70</t>
  </si>
  <si>
    <t>trap</t>
  </si>
  <si>
    <t>Portaal</t>
  </si>
  <si>
    <t>Kantoor</t>
  </si>
  <si>
    <t>Toilet dames</t>
  </si>
  <si>
    <t>0.41</t>
  </si>
  <si>
    <t>Receptie</t>
  </si>
  <si>
    <t>X26</t>
  </si>
  <si>
    <t>X33</t>
  </si>
  <si>
    <t>Trappenhuis</t>
  </si>
  <si>
    <t>1.02b</t>
  </si>
  <si>
    <t>1.10</t>
  </si>
  <si>
    <t>Lokaal 13</t>
  </si>
  <si>
    <t>Lokaal 12</t>
  </si>
  <si>
    <t>Lokaal 11</t>
  </si>
  <si>
    <t>1.18a</t>
  </si>
  <si>
    <t>1.26</t>
  </si>
  <si>
    <t>Leslokaal</t>
  </si>
  <si>
    <t>Archief</t>
  </si>
  <si>
    <t>Hal</t>
  </si>
  <si>
    <t>Stoelenberging</t>
  </si>
  <si>
    <t>Toilet heren</t>
  </si>
  <si>
    <t>Kantine</t>
  </si>
  <si>
    <t>Collegezaal</t>
  </si>
  <si>
    <t>Kleedruimte dames</t>
  </si>
  <si>
    <t>Kleedruimte docent</t>
  </si>
  <si>
    <t>Kleedruimte heren</t>
  </si>
  <si>
    <t>werkruimte</t>
  </si>
  <si>
    <t>lift</t>
  </si>
  <si>
    <t>techniek</t>
  </si>
  <si>
    <t>laagspanning</t>
  </si>
  <si>
    <t>Fitnessruimte</t>
  </si>
  <si>
    <t>Gymzaal</t>
  </si>
  <si>
    <t>Toilet Dames</t>
  </si>
  <si>
    <t>Toilet Heren</t>
  </si>
  <si>
    <t>HBR</t>
  </si>
  <si>
    <t>Restaurant HBR</t>
  </si>
  <si>
    <t>Vergaderzaal HBR</t>
  </si>
  <si>
    <t>Toilet Jongens</t>
  </si>
  <si>
    <t>Toilet Meisjes</t>
  </si>
  <si>
    <t>Infotheek</t>
  </si>
  <si>
    <t>Coordinator</t>
  </si>
  <si>
    <t>Loopbrug</t>
  </si>
  <si>
    <t>Docenten werkruimte</t>
  </si>
  <si>
    <t>Wasruimte</t>
  </si>
  <si>
    <t>Serverruimte</t>
  </si>
  <si>
    <t>Toilet dames personeel</t>
  </si>
  <si>
    <t>Toilet heren personeel</t>
  </si>
  <si>
    <t>Nooduitgang</t>
  </si>
  <si>
    <t>Berging m.f. ruimte</t>
  </si>
  <si>
    <t>Studielandschap</t>
  </si>
  <si>
    <t>Instructie</t>
  </si>
  <si>
    <t>Docenten</t>
  </si>
  <si>
    <t>Ontmoetingsruimte</t>
  </si>
  <si>
    <t>Buitenberging</t>
  </si>
  <si>
    <t>EHBO</t>
  </si>
  <si>
    <t>Mediatheek</t>
  </si>
  <si>
    <t>Studio 4</t>
  </si>
  <si>
    <t>Studio 1</t>
  </si>
  <si>
    <t>Studio 2</t>
  </si>
  <si>
    <t>Muziek 2</t>
  </si>
  <si>
    <t>Atelier 3D</t>
  </si>
  <si>
    <t>Bergingen NABISK</t>
  </si>
  <si>
    <t>Natuurkunde</t>
  </si>
  <si>
    <t>Science lab</t>
  </si>
  <si>
    <t>Doka</t>
  </si>
  <si>
    <t>Scheikunde</t>
  </si>
  <si>
    <t>Natuurkunde+scheikunde</t>
  </si>
  <si>
    <t>M+G</t>
  </si>
  <si>
    <t>N+T instructie</t>
  </si>
  <si>
    <t>N+T techniek</t>
  </si>
  <si>
    <t>Hoofdverkeersruimte</t>
  </si>
  <si>
    <t>Begeleidingsteam</t>
  </si>
  <si>
    <t>Installatieruimte</t>
  </si>
  <si>
    <t>Ketelruimte</t>
  </si>
  <si>
    <t>Werkplek personeel</t>
  </si>
  <si>
    <t>Secretariaat + adm.</t>
  </si>
  <si>
    <t>Stafruimte locatie directeur</t>
  </si>
  <si>
    <t>7607 BJ </t>
  </si>
  <si>
    <t>7607 BH</t>
  </si>
  <si>
    <t>7572 CR</t>
  </si>
  <si>
    <t>7573 CC</t>
  </si>
  <si>
    <t>7576 ZB</t>
  </si>
  <si>
    <t>Bestuursbureau</t>
  </si>
  <si>
    <t>Drienerparkweg 16</t>
  </si>
  <si>
    <t>7552 EB</t>
  </si>
  <si>
    <t>Hengelo</t>
  </si>
  <si>
    <t>Atrium</t>
  </si>
  <si>
    <t>Overloop</t>
  </si>
  <si>
    <t>repro</t>
  </si>
  <si>
    <t>l</t>
  </si>
  <si>
    <t>Kabinet</t>
  </si>
  <si>
    <t>BG</t>
  </si>
  <si>
    <t>Lokaal 8</t>
  </si>
  <si>
    <t>x 34</t>
  </si>
  <si>
    <t>Lokaal 7</t>
  </si>
  <si>
    <t>Toilet J/M</t>
  </si>
  <si>
    <t>x 23</t>
  </si>
  <si>
    <t>0.25 / 0.40 / 0.41</t>
  </si>
  <si>
    <t>Lokaal 1</t>
  </si>
  <si>
    <t>0.42 / 0.43 / 0.44</t>
  </si>
  <si>
    <t>Lokaal 5/6</t>
  </si>
  <si>
    <t>x 26</t>
  </si>
  <si>
    <t>x 28</t>
  </si>
  <si>
    <t>Hal BG</t>
  </si>
  <si>
    <t>x 29</t>
  </si>
  <si>
    <t>x 44</t>
  </si>
  <si>
    <t>0.57</t>
  </si>
  <si>
    <t>Lokaal 9 Natuurkunde</t>
  </si>
  <si>
    <t xml:space="preserve">Hal  </t>
  </si>
  <si>
    <t>Lokaal 10</t>
  </si>
  <si>
    <t>Toiletruimte</t>
  </si>
  <si>
    <t>administratie</t>
  </si>
  <si>
    <t>concierge</t>
  </si>
  <si>
    <t>fiets en bromfietstechniek</t>
  </si>
  <si>
    <t>schilderen</t>
  </si>
  <si>
    <t>solderen</t>
  </si>
  <si>
    <t>metaal</t>
  </si>
  <si>
    <t>Instructieruimte</t>
  </si>
  <si>
    <t>bouw</t>
  </si>
  <si>
    <t>Persoonlijke verzorging</t>
  </si>
  <si>
    <t>Wassen en strijken</t>
  </si>
  <si>
    <t>Invalidentoilet/opslag</t>
  </si>
  <si>
    <t>Horecalokaal</t>
  </si>
  <si>
    <t>Centrale Ruimte/kantine</t>
  </si>
  <si>
    <t>Sportzaal</t>
  </si>
  <si>
    <t>Invalidentoilet</t>
  </si>
  <si>
    <t>Toiletruimte dames</t>
  </si>
  <si>
    <t>Toiletruimte heren</t>
  </si>
  <si>
    <t>10,2a</t>
  </si>
  <si>
    <t>Toiletruimte docent</t>
  </si>
  <si>
    <t>10,3a</t>
  </si>
  <si>
    <t>toiletruimte dames</t>
  </si>
  <si>
    <t>10,5a</t>
  </si>
  <si>
    <t>5a</t>
  </si>
  <si>
    <t>5b</t>
  </si>
  <si>
    <t>Was- en Kleedruimte</t>
  </si>
  <si>
    <t>5c</t>
  </si>
  <si>
    <t>Textielbewerking</t>
  </si>
  <si>
    <t>5d</t>
  </si>
  <si>
    <t>Lesruimte</t>
  </si>
  <si>
    <t>5e</t>
  </si>
  <si>
    <t>Computerhoek</t>
  </si>
  <si>
    <t>5f</t>
  </si>
  <si>
    <t>5g</t>
  </si>
  <si>
    <t>Verzorging</t>
  </si>
  <si>
    <t>SVA Magazijn</t>
  </si>
  <si>
    <t>Logopedie</t>
  </si>
  <si>
    <t>Noodtrappenhuis</t>
  </si>
  <si>
    <t>Cursuslokaal</t>
  </si>
  <si>
    <t>Thuisbasis theorielokaal</t>
  </si>
  <si>
    <t>creatief lokaal HV</t>
  </si>
  <si>
    <t>Multimedia / Bibliotheek</t>
  </si>
  <si>
    <t>Personeelskamer</t>
  </si>
  <si>
    <t>Stagecoördinator</t>
  </si>
  <si>
    <t>Kantoor OCD</t>
  </si>
  <si>
    <t>Administratie / receptie</t>
  </si>
  <si>
    <t>Directiekantoor</t>
  </si>
  <si>
    <t>ICT ruimte uitbreiding)</t>
  </si>
  <si>
    <t>Het Podium</t>
  </si>
  <si>
    <t>Entree/Hal</t>
  </si>
  <si>
    <t>leerlingenentree 2x</t>
  </si>
  <si>
    <t>Trapportaal</t>
  </si>
  <si>
    <t>Muzieklokaal</t>
  </si>
  <si>
    <t>Beeldende Vorming</t>
  </si>
  <si>
    <t>Leskeuken onderbouw</t>
  </si>
  <si>
    <t>LL begeleider</t>
  </si>
  <si>
    <t>adjunct</t>
  </si>
  <si>
    <t>conc loge</t>
  </si>
  <si>
    <t>Computerlokaal</t>
  </si>
  <si>
    <t>Leslokaal praktijk</t>
  </si>
  <si>
    <t>109a</t>
  </si>
  <si>
    <t>Informatica</t>
  </si>
  <si>
    <t>Adjunct</t>
  </si>
  <si>
    <t>Miva Toilet</t>
  </si>
  <si>
    <t>Natuur/Scheikunde</t>
  </si>
  <si>
    <t>Natuukunde/Biologie</t>
  </si>
  <si>
    <t>214/215</t>
  </si>
  <si>
    <t>Was/Kleedruimte</t>
  </si>
  <si>
    <t>83a</t>
  </si>
  <si>
    <t>Doucheruimte</t>
  </si>
  <si>
    <t>84a</t>
  </si>
  <si>
    <t>85a</t>
  </si>
  <si>
    <t>86a</t>
  </si>
  <si>
    <t>Toestelberging</t>
  </si>
  <si>
    <t>81a</t>
  </si>
  <si>
    <t>81b</t>
  </si>
  <si>
    <t>Tourniquette</t>
  </si>
  <si>
    <t>Vergaderruimte</t>
  </si>
  <si>
    <t>103a</t>
  </si>
  <si>
    <t>103b</t>
  </si>
  <si>
    <t>Kantoor decanen</t>
  </si>
  <si>
    <t>200a</t>
  </si>
  <si>
    <t>300a</t>
  </si>
  <si>
    <t>WRL 2</t>
  </si>
  <si>
    <t>WRL 1</t>
  </si>
  <si>
    <t>Portaal Trap</t>
  </si>
  <si>
    <t>4a</t>
  </si>
  <si>
    <t>6a</t>
  </si>
  <si>
    <t>6b</t>
  </si>
  <si>
    <t>restaurant</t>
  </si>
  <si>
    <t>Restaurant</t>
  </si>
  <si>
    <t>Entree HBR</t>
  </si>
  <si>
    <t>Gaderobe HBR</t>
  </si>
  <si>
    <t>Leskeuken</t>
  </si>
  <si>
    <t xml:space="preserve">Bakkerij </t>
  </si>
  <si>
    <t>Mobiliteit</t>
  </si>
  <si>
    <t>Leslokaal praktijk praktijk</t>
  </si>
  <si>
    <t>Bouw Infra</t>
  </si>
  <si>
    <t>MEI plein</t>
  </si>
  <si>
    <t>kantoren</t>
  </si>
  <si>
    <t>verkeersruimte</t>
  </si>
  <si>
    <t>20C</t>
  </si>
  <si>
    <t>250A</t>
  </si>
  <si>
    <t>250B</t>
  </si>
  <si>
    <t>praktijk instructie</t>
  </si>
  <si>
    <t>0.02a</t>
  </si>
  <si>
    <t>instructie</t>
  </si>
  <si>
    <t>0.18</t>
  </si>
  <si>
    <t>0.23</t>
  </si>
  <si>
    <t>0.33/ 0.33a</t>
  </si>
  <si>
    <t>Berging / Magazijn</t>
  </si>
  <si>
    <t>NUTSruimte</t>
  </si>
  <si>
    <t>Hoofd fac. Dienst</t>
  </si>
  <si>
    <t>stafruimte dir. Onderbouw</t>
  </si>
  <si>
    <t>leerlingenbegeleiding</t>
  </si>
  <si>
    <t>0.41a</t>
  </si>
  <si>
    <t>0.42</t>
  </si>
  <si>
    <t>0.43</t>
  </si>
  <si>
    <t>0.44</t>
  </si>
  <si>
    <t>0.47</t>
  </si>
  <si>
    <t>Boekenfonds</t>
  </si>
  <si>
    <t>Uitloop Mediatheek</t>
  </si>
  <si>
    <t>0.50</t>
  </si>
  <si>
    <t>Waterr.</t>
  </si>
  <si>
    <t>0.54</t>
  </si>
  <si>
    <t>gasr.</t>
  </si>
  <si>
    <t>0.59/ ?</t>
  </si>
  <si>
    <t>Sporthal</t>
  </si>
  <si>
    <t>sporthal/school</t>
  </si>
  <si>
    <t>muziek 1</t>
  </si>
  <si>
    <t>studio 5</t>
  </si>
  <si>
    <t>studio 6</t>
  </si>
  <si>
    <t>studio 3</t>
  </si>
  <si>
    <t>1.09a</t>
  </si>
  <si>
    <t>klei oven</t>
  </si>
  <si>
    <t>atelier 2D</t>
  </si>
  <si>
    <t>1.12a</t>
  </si>
  <si>
    <t>examenwerkstukken</t>
  </si>
  <si>
    <t>docentenruimte</t>
  </si>
  <si>
    <t>werkplekken atelier</t>
  </si>
  <si>
    <t>instructie 2D</t>
  </si>
  <si>
    <t>Berging opslag materialen</t>
  </si>
  <si>
    <t>TOA voorbereiding</t>
  </si>
  <si>
    <t>1.19a</t>
  </si>
  <si>
    <t>leermiddelenberging</t>
  </si>
  <si>
    <t>Biologie b.b.</t>
  </si>
  <si>
    <t>Biologie o.b.</t>
  </si>
  <si>
    <t>N+T lab.</t>
  </si>
  <si>
    <t>1.35</t>
  </si>
  <si>
    <t>1.36</t>
  </si>
  <si>
    <t>1.37</t>
  </si>
  <si>
    <t>1.39</t>
  </si>
  <si>
    <t>lift zie BG</t>
  </si>
  <si>
    <t>1.40</t>
  </si>
  <si>
    <t>1.41</t>
  </si>
  <si>
    <t>1.42</t>
  </si>
  <si>
    <t>1.43</t>
  </si>
  <si>
    <t>hal muziek</t>
  </si>
  <si>
    <t>S1-1</t>
  </si>
  <si>
    <t>s1-31</t>
  </si>
  <si>
    <t xml:space="preserve">tecnische ruimte </t>
  </si>
  <si>
    <t>2.01</t>
  </si>
  <si>
    <t>2.02</t>
  </si>
  <si>
    <t>2.03</t>
  </si>
  <si>
    <t>2.04</t>
  </si>
  <si>
    <t>2.05</t>
  </si>
  <si>
    <t>thuisbasis</t>
  </si>
  <si>
    <t>2.06</t>
  </si>
  <si>
    <t>2.07</t>
  </si>
  <si>
    <t>2.08</t>
  </si>
  <si>
    <t>2.09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</si>
  <si>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</si>
  <si>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</si>
  <si>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</si>
  <si>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</si>
  <si>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</si>
  <si>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</si>
  <si>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</si>
  <si>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</si>
  <si>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</si>
  <si>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</si>
  <si>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</si>
  <si>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2.20a</t>
  </si>
  <si>
    <t>2.20b</t>
  </si>
  <si>
    <t>2.21</t>
  </si>
  <si>
    <t>systeembeheer</t>
  </si>
  <si>
    <t>2.21a</t>
  </si>
  <si>
    <t>2.22</t>
  </si>
  <si>
    <t>2.22a</t>
  </si>
  <si>
    <t>2.23</t>
  </si>
  <si>
    <t>2.24</t>
  </si>
  <si>
    <t>Staf. Dir. Bovenbouw</t>
  </si>
  <si>
    <t>2.25</t>
  </si>
  <si>
    <t>2.26</t>
  </si>
  <si>
    <t>2.27</t>
  </si>
  <si>
    <t>2.28</t>
  </si>
  <si>
    <t>2.29</t>
  </si>
  <si>
    <t>2.30</t>
  </si>
  <si>
    <t>2.31</t>
  </si>
  <si>
    <t>2.32</t>
  </si>
  <si>
    <t>2.33</t>
  </si>
  <si>
    <t>2.33a</t>
  </si>
  <si>
    <t>2.36</t>
  </si>
  <si>
    <t>2.37</t>
  </si>
  <si>
    <t>2.38</t>
  </si>
  <si>
    <t>2.39</t>
  </si>
  <si>
    <t>2.40</t>
  </si>
  <si>
    <t>2.41</t>
  </si>
  <si>
    <t>A001</t>
  </si>
  <si>
    <t>A001a</t>
  </si>
  <si>
    <t>A002</t>
  </si>
  <si>
    <t>A003</t>
  </si>
  <si>
    <t>Kamer LB</t>
  </si>
  <si>
    <t>A004</t>
  </si>
  <si>
    <t xml:space="preserve">kantoor </t>
  </si>
  <si>
    <t>A005</t>
  </si>
  <si>
    <t xml:space="preserve">Kantoor </t>
  </si>
  <si>
    <t>A006</t>
  </si>
  <si>
    <t>A007</t>
  </si>
  <si>
    <t xml:space="preserve">Kantoor  </t>
  </si>
  <si>
    <t>A008</t>
  </si>
  <si>
    <t>A009</t>
  </si>
  <si>
    <t>A010</t>
  </si>
  <si>
    <t>A011</t>
  </si>
  <si>
    <t>A012</t>
  </si>
  <si>
    <t>A013</t>
  </si>
  <si>
    <t>A014</t>
  </si>
  <si>
    <t>A015</t>
  </si>
  <si>
    <t>Mediatheek-entresol</t>
  </si>
  <si>
    <t>A016</t>
  </si>
  <si>
    <t xml:space="preserve">Kantoor   </t>
  </si>
  <si>
    <t>A017</t>
  </si>
  <si>
    <t>A018</t>
  </si>
  <si>
    <t>A050</t>
  </si>
  <si>
    <t>A051</t>
  </si>
  <si>
    <t>A080</t>
  </si>
  <si>
    <t>Hoofdentree/gang</t>
  </si>
  <si>
    <t>A081</t>
  </si>
  <si>
    <t>A082</t>
  </si>
  <si>
    <t>A083</t>
  </si>
  <si>
    <t xml:space="preserve">oude Entree </t>
  </si>
  <si>
    <t>A085</t>
  </si>
  <si>
    <t>A101</t>
  </si>
  <si>
    <t>A102</t>
  </si>
  <si>
    <t>A103</t>
  </si>
  <si>
    <t>A104</t>
  </si>
  <si>
    <t>A105</t>
  </si>
  <si>
    <t>A106</t>
  </si>
  <si>
    <t>A107</t>
  </si>
  <si>
    <t>A108</t>
  </si>
  <si>
    <t>A109</t>
  </si>
  <si>
    <t>A110</t>
  </si>
  <si>
    <t>A112</t>
  </si>
  <si>
    <t>A114</t>
  </si>
  <si>
    <t>A116</t>
  </si>
  <si>
    <t>A118</t>
  </si>
  <si>
    <t>Kapel</t>
  </si>
  <si>
    <t>A120</t>
  </si>
  <si>
    <t>PC-ruimte kapel</t>
  </si>
  <si>
    <t>A122</t>
  </si>
  <si>
    <t>Studiecentrum</t>
  </si>
  <si>
    <t>A150</t>
  </si>
  <si>
    <t>A151</t>
  </si>
  <si>
    <t>A171</t>
  </si>
  <si>
    <t>A180</t>
  </si>
  <si>
    <t>Gang / Loopbrug</t>
  </si>
  <si>
    <t>A181</t>
  </si>
  <si>
    <t>A182</t>
  </si>
  <si>
    <t>A186</t>
  </si>
  <si>
    <t>Voorportaal Kapel</t>
  </si>
  <si>
    <t>A201</t>
  </si>
  <si>
    <t>A202</t>
  </si>
  <si>
    <t>A203</t>
  </si>
  <si>
    <t>A204</t>
  </si>
  <si>
    <t>A205</t>
  </si>
  <si>
    <t>A206</t>
  </si>
  <si>
    <t>A207</t>
  </si>
  <si>
    <t>A208</t>
  </si>
  <si>
    <t>A210</t>
  </si>
  <si>
    <t>A212</t>
  </si>
  <si>
    <t>A214</t>
  </si>
  <si>
    <t>A216</t>
  </si>
  <si>
    <t>A218</t>
  </si>
  <si>
    <t>Balkon Kapel</t>
  </si>
  <si>
    <t>A250</t>
  </si>
  <si>
    <t>A251</t>
  </si>
  <si>
    <t>A281</t>
  </si>
  <si>
    <t>A282</t>
  </si>
  <si>
    <t>A283</t>
  </si>
  <si>
    <t>B049</t>
  </si>
  <si>
    <t>B050</t>
  </si>
  <si>
    <t>B052</t>
  </si>
  <si>
    <t>B054</t>
  </si>
  <si>
    <t>B055</t>
  </si>
  <si>
    <t>Kantine 1</t>
  </si>
  <si>
    <t>B080</t>
  </si>
  <si>
    <t>B101</t>
  </si>
  <si>
    <t>B102</t>
  </si>
  <si>
    <t>Praktijklokaal beeldende vorming</t>
  </si>
  <si>
    <t>B104</t>
  </si>
  <si>
    <t>B181</t>
  </si>
  <si>
    <t>B201</t>
  </si>
  <si>
    <t>B202</t>
  </si>
  <si>
    <t>B203</t>
  </si>
  <si>
    <t>B204</t>
  </si>
  <si>
    <t>B205</t>
  </si>
  <si>
    <t>B250</t>
  </si>
  <si>
    <t>B281</t>
  </si>
  <si>
    <t>B301</t>
  </si>
  <si>
    <t>B302</t>
  </si>
  <si>
    <t>B302-b</t>
  </si>
  <si>
    <t>B303</t>
  </si>
  <si>
    <t>Praktijklokaal</t>
  </si>
  <si>
    <t>B350</t>
  </si>
  <si>
    <t>B380</t>
  </si>
  <si>
    <t>B382</t>
  </si>
  <si>
    <t>C001</t>
  </si>
  <si>
    <t>Kantine 2</t>
  </si>
  <si>
    <t>C001A</t>
  </si>
  <si>
    <t>C003</t>
  </si>
  <si>
    <t>Keuken kantine</t>
  </si>
  <si>
    <t>C005</t>
  </si>
  <si>
    <t>Studieruimte</t>
  </si>
  <si>
    <t>C007</t>
  </si>
  <si>
    <t>C080</t>
  </si>
  <si>
    <t>C101</t>
  </si>
  <si>
    <t>C102</t>
  </si>
  <si>
    <t>C103</t>
  </si>
  <si>
    <t>C104</t>
  </si>
  <si>
    <t>C170</t>
  </si>
  <si>
    <t>C180</t>
  </si>
  <si>
    <t>D001</t>
  </si>
  <si>
    <t>D002</t>
  </si>
  <si>
    <t>D003</t>
  </si>
  <si>
    <t>D004</t>
  </si>
  <si>
    <t>D005</t>
  </si>
  <si>
    <t>D006</t>
  </si>
  <si>
    <t>D007</t>
  </si>
  <si>
    <t>D008</t>
  </si>
  <si>
    <t>D008a</t>
  </si>
  <si>
    <t>D009</t>
  </si>
  <si>
    <t>D010</t>
  </si>
  <si>
    <t>D014</t>
  </si>
  <si>
    <t>D050</t>
  </si>
  <si>
    <t>D051</t>
  </si>
  <si>
    <t>D070</t>
  </si>
  <si>
    <t>D071</t>
  </si>
  <si>
    <t>D073</t>
  </si>
  <si>
    <t>D080</t>
  </si>
  <si>
    <t>D081</t>
  </si>
  <si>
    <t>D082</t>
  </si>
  <si>
    <t>D083</t>
  </si>
  <si>
    <t>D101</t>
  </si>
  <si>
    <t>D102</t>
  </si>
  <si>
    <t>D103</t>
  </si>
  <si>
    <t>D104</t>
  </si>
  <si>
    <t>D105</t>
  </si>
  <si>
    <t>D106</t>
  </si>
  <si>
    <t>D107</t>
  </si>
  <si>
    <t>D108</t>
  </si>
  <si>
    <t xml:space="preserve">Kabinet </t>
  </si>
  <si>
    <t>D109</t>
  </si>
  <si>
    <t>D110</t>
  </si>
  <si>
    <t>D111</t>
  </si>
  <si>
    <t>D112</t>
  </si>
  <si>
    <t>D115</t>
  </si>
  <si>
    <t>D116</t>
  </si>
  <si>
    <t>D117</t>
  </si>
  <si>
    <t>D150</t>
  </si>
  <si>
    <t>D151</t>
  </si>
  <si>
    <t>D180</t>
  </si>
  <si>
    <t>D181</t>
  </si>
  <si>
    <t>D182</t>
  </si>
  <si>
    <t>DK005</t>
  </si>
  <si>
    <t>DK006</t>
  </si>
  <si>
    <t>Technieklokaal</t>
  </si>
  <si>
    <t>E001</t>
  </si>
  <si>
    <t>E002</t>
  </si>
  <si>
    <t>Kluizenruimte</t>
  </si>
  <si>
    <t>E002a</t>
  </si>
  <si>
    <t>E002b</t>
  </si>
  <si>
    <t>E003</t>
  </si>
  <si>
    <t>E004</t>
  </si>
  <si>
    <t>E005</t>
  </si>
  <si>
    <t>E006</t>
  </si>
  <si>
    <t>E007</t>
  </si>
  <si>
    <t>E009</t>
  </si>
  <si>
    <t>E012</t>
  </si>
  <si>
    <t>Sportzaal 2</t>
  </si>
  <si>
    <t>E012a</t>
  </si>
  <si>
    <t>E012b</t>
  </si>
  <si>
    <t>Tribune zaal 2</t>
  </si>
  <si>
    <t>E013</t>
  </si>
  <si>
    <t>Wasruimte dames</t>
  </si>
  <si>
    <t>E014</t>
  </si>
  <si>
    <t>Wasruimte heren</t>
  </si>
  <si>
    <t>E015</t>
  </si>
  <si>
    <t>Kantoor personeel</t>
  </si>
  <si>
    <t>E016</t>
  </si>
  <si>
    <t>E017</t>
  </si>
  <si>
    <t>E017a</t>
  </si>
  <si>
    <t>Toilet personeel</t>
  </si>
  <si>
    <t>E018</t>
  </si>
  <si>
    <t>Sportzaal 3</t>
  </si>
  <si>
    <t>E018a</t>
  </si>
  <si>
    <t>E019</t>
  </si>
  <si>
    <t>E080</t>
  </si>
  <si>
    <t>E081</t>
  </si>
  <si>
    <t>E082</t>
  </si>
  <si>
    <t>E101</t>
  </si>
  <si>
    <t>Docentenwerkkamer</t>
  </si>
  <si>
    <t>E102</t>
  </si>
  <si>
    <t>E103</t>
  </si>
  <si>
    <t>E104</t>
  </si>
  <si>
    <t>E105</t>
  </si>
  <si>
    <t>E106</t>
  </si>
  <si>
    <t>E107</t>
  </si>
  <si>
    <t>E107g</t>
  </si>
  <si>
    <t>E107p</t>
  </si>
  <si>
    <t>E108</t>
  </si>
  <si>
    <t>E110</t>
  </si>
  <si>
    <t>E118</t>
  </si>
  <si>
    <t>E150</t>
  </si>
  <si>
    <t>E151</t>
  </si>
  <si>
    <t>E152</t>
  </si>
  <si>
    <t>E153</t>
  </si>
  <si>
    <t>E180</t>
  </si>
  <si>
    <t>E182</t>
  </si>
  <si>
    <t>E183</t>
  </si>
  <si>
    <t>E184</t>
  </si>
  <si>
    <t>EK016</t>
  </si>
  <si>
    <t>EK070</t>
  </si>
  <si>
    <t>TD</t>
  </si>
  <si>
    <t>Technische dienst</t>
  </si>
  <si>
    <t>Buitenkleedkamer</t>
  </si>
  <si>
    <t>0.1</t>
  </si>
  <si>
    <t>0.2</t>
  </si>
  <si>
    <t>Lokaal 2</t>
  </si>
  <si>
    <t>0.3</t>
  </si>
  <si>
    <t>Lokaal 3</t>
  </si>
  <si>
    <t>0.4</t>
  </si>
  <si>
    <t>Lokaal 4</t>
  </si>
  <si>
    <t>0.5</t>
  </si>
  <si>
    <t>Lokaal 5</t>
  </si>
  <si>
    <t>0.6</t>
  </si>
  <si>
    <t>Lokaal 6</t>
  </si>
  <si>
    <t>0.7</t>
  </si>
  <si>
    <t>koffiekamer</t>
  </si>
  <si>
    <t>0.8</t>
  </si>
  <si>
    <t>kluisjesberging</t>
  </si>
  <si>
    <t>0.9</t>
  </si>
  <si>
    <t>lokaal 8</t>
  </si>
  <si>
    <t>personeelskamer</t>
  </si>
  <si>
    <t>lokaal 7</t>
  </si>
  <si>
    <t>aula</t>
  </si>
  <si>
    <t>entree</t>
  </si>
  <si>
    <t>kamer leerkrachten</t>
  </si>
  <si>
    <t>toiletruimte</t>
  </si>
  <si>
    <t>gangen</t>
  </si>
  <si>
    <t>lokaal scheikunde</t>
  </si>
  <si>
    <t>lokaal biologie</t>
  </si>
  <si>
    <t>directie</t>
  </si>
  <si>
    <t>adjunct directeur</t>
  </si>
  <si>
    <t>toiletruimte heren</t>
  </si>
  <si>
    <t>multifunctionele ruimte</t>
  </si>
  <si>
    <t>platvorm</t>
  </si>
  <si>
    <t>voorportaal</t>
  </si>
  <si>
    <t>X16 a</t>
  </si>
  <si>
    <t>nader te bepalen</t>
  </si>
  <si>
    <t>concierge en ICT</t>
  </si>
  <si>
    <t>bordes trap</t>
  </si>
  <si>
    <t>docenten werkplek / spreekkamer</t>
  </si>
  <si>
    <t>printer en koffiekorner</t>
  </si>
  <si>
    <t>miva toilet</t>
  </si>
  <si>
    <t>Technisch Onderwijs Assistent (TOA)</t>
  </si>
  <si>
    <t>Openbaar Leer Centrum (OLC)</t>
  </si>
  <si>
    <t>X58a</t>
  </si>
  <si>
    <t>Entresol</t>
  </si>
  <si>
    <t>cv ruimte</t>
  </si>
  <si>
    <t>lerarentoilet</t>
  </si>
  <si>
    <t>oefenruimte 1</t>
  </si>
  <si>
    <t>oefenruimte 2</t>
  </si>
  <si>
    <t>x71</t>
  </si>
  <si>
    <t>x72</t>
  </si>
  <si>
    <t>x73</t>
  </si>
  <si>
    <t>x74</t>
  </si>
  <si>
    <t>x75</t>
  </si>
  <si>
    <t>x76</t>
  </si>
  <si>
    <t>x77</t>
  </si>
  <si>
    <t>x78</t>
  </si>
  <si>
    <t>x79</t>
  </si>
  <si>
    <t>x80</t>
  </si>
  <si>
    <t>x81</t>
  </si>
  <si>
    <t>x82</t>
  </si>
  <si>
    <t>x83</t>
  </si>
  <si>
    <t>x84</t>
  </si>
  <si>
    <t>x85</t>
  </si>
  <si>
    <t>x86</t>
  </si>
  <si>
    <t>x87</t>
  </si>
  <si>
    <t>x88</t>
  </si>
  <si>
    <t>studenten werkplekken</t>
  </si>
  <si>
    <t>x89</t>
  </si>
  <si>
    <t>linoleum</t>
  </si>
  <si>
    <t>tegels</t>
  </si>
  <si>
    <t>natuursteen</t>
  </si>
  <si>
    <t>pvc</t>
  </si>
  <si>
    <t>t</t>
  </si>
  <si>
    <t>tapijt</t>
  </si>
  <si>
    <t>gietvloer</t>
  </si>
  <si>
    <t>gecoat beton</t>
  </si>
  <si>
    <t>sportvloer</t>
  </si>
  <si>
    <t>beton</t>
  </si>
  <si>
    <t>hout</t>
  </si>
  <si>
    <t>leisteen</t>
  </si>
  <si>
    <t>parket</t>
  </si>
  <si>
    <t>Kantoren/kantoortuin</t>
  </si>
  <si>
    <t>Entree / buitenentree</t>
  </si>
  <si>
    <t>Bibliotheek / OLC</t>
  </si>
  <si>
    <t>Garderobes/kluisjesruimte</t>
  </si>
  <si>
    <t>Kantine/aula</t>
  </si>
  <si>
    <t>Praktijklokalen/kabinet</t>
  </si>
  <si>
    <t>Keuken/pantry/rookruimte</t>
  </si>
  <si>
    <t>Leslokalen/computerlokaal</t>
  </si>
  <si>
    <t>Extra werkzaamheden
Kosten / jaar</t>
  </si>
  <si>
    <t>4,1A</t>
  </si>
  <si>
    <t>Rnr 4.1/4.2/4.7/4.11 en 29 (215m2) randen/richels boven reikhoogte stofvrij / inventaris reinigen ("grote beurt")</t>
  </si>
  <si>
    <t>Extra</t>
  </si>
  <si>
    <t>Rnr 4.1/4.2/4.7/4.11 en 29</t>
  </si>
  <si>
    <t>aan- afzuigroosters buitenzijde leslokalen E vleugel (9 lokalen) schoonmaken</t>
  </si>
  <si>
    <t>Rnr 61 (2 st.) / HBR (3 st.) / Zorg&amp;Welzijn; niet in bestek (3 st)</t>
  </si>
  <si>
    <t>leskeuken en bakkerij (319 m²) elke 2 wkn schrobben</t>
  </si>
  <si>
    <t>Wassen 40 judopakken en 80 labjassen 2x p/jr</t>
  </si>
  <si>
    <t xml:space="preserve">Wassen horecadoeken (40 st.) 5x p/wk: </t>
  </si>
  <si>
    <t>Uren/aantal per keer</t>
  </si>
  <si>
    <t>lokaal 1.28; 7 stuks (134 m²)</t>
  </si>
  <si>
    <t>T1</t>
  </si>
  <si>
    <t>Tuckerpool</t>
  </si>
  <si>
    <t>Melkglas buitenzijde</t>
  </si>
  <si>
    <t>Melkglas binnenzijde</t>
  </si>
  <si>
    <t>Glas in lood dubbelzijdig</t>
  </si>
  <si>
    <t>Glaswand tot de grond buitenzijde</t>
  </si>
  <si>
    <t>Potskamp</t>
  </si>
  <si>
    <t>Praktijkonderwijs</t>
  </si>
  <si>
    <t>Oranjestraat 23</t>
  </si>
  <si>
    <t>De Thij</t>
  </si>
  <si>
    <t>2027</t>
  </si>
  <si>
    <t>Datum in dienst</t>
  </si>
  <si>
    <t>Aantal uur op object per week</t>
  </si>
  <si>
    <t>Ingansdatum werkzaam op object</t>
  </si>
  <si>
    <t>Reiskosten op basis van CAO</t>
  </si>
  <si>
    <t>Onbep. Tijd</t>
  </si>
  <si>
    <t>Ja</t>
  </si>
  <si>
    <t>Med. Algemeen schoonmaakonderhoud</t>
  </si>
  <si>
    <t>Nee</t>
  </si>
  <si>
    <t>Bep. Tijd t/m 27-06-2021</t>
  </si>
  <si>
    <t>Bep. Tijd t/m 29-11-2021</t>
  </si>
  <si>
    <t>Schoonmaakcoordinator II</t>
  </si>
  <si>
    <t>Bep. Tijd t/m 26-01-2022</t>
  </si>
  <si>
    <t>Bep. Tijd t/m 28-02-2022</t>
  </si>
  <si>
    <t>Bep. Tijd  t/m 16-08-2021</t>
  </si>
  <si>
    <t>Bep. Tijd t/m 20-10-2021</t>
  </si>
  <si>
    <t>WML</t>
  </si>
  <si>
    <t>Bep. Tijd t/m 26-06-2021</t>
  </si>
  <si>
    <t>ja</t>
  </si>
  <si>
    <t>Vrij uurloon</t>
  </si>
  <si>
    <t>Bep. Tijd t/m 08-11-2021</t>
  </si>
  <si>
    <t>Med. Schoonmaakonderhoud en services III</t>
  </si>
  <si>
    <t>Lyceumstraat</t>
  </si>
  <si>
    <t>Onbep.tijd</t>
  </si>
  <si>
    <t>Med.alg. schoonmaakonderhoud I</t>
  </si>
  <si>
    <t>Extra werkzaamheden</t>
  </si>
  <si>
    <t>7572 VD</t>
  </si>
  <si>
    <t>Reinigen vlaggenmasten</t>
  </si>
  <si>
    <t>Verwijderen van vervuiling in spoelranden, afvoersluitingen en restant van de binnenzijde van het toilet</t>
  </si>
  <si>
    <t>De drukspoeler controleren op goede werking en ontdoen van aanslag op de buitenzijde</t>
  </si>
  <si>
    <t>De spoelpijp ontdoen van aanslag en controleren op losse of defecte bevestigingsbeugels op de aansluiting van de pot en op lekkage</t>
  </si>
  <si>
    <t>Het verwijderen van vervuiling van schaamschotten</t>
  </si>
  <si>
    <t>Volledig (diep)reinigen van de deur (beide zijden), (tegel-)wanden, vloeren en putjes (in- en uitwendig)</t>
  </si>
  <si>
    <t>Het reinigen van het toilet/urinoir aan de buitenzijde</t>
  </si>
  <si>
    <t>De toiletbril ontdoen van aanslag, demonteren van een bril met brugstuk (teneinde het vuil eronder te verwijderen) en weer monteren</t>
  </si>
  <si>
    <t>De binnen- en buitenzijde van de stortbak ontdoen van aanslag en vuil (gietijzer alleen buitenzijde)</t>
  </si>
  <si>
    <t>De stortbak controleren op het functioneren van het mechanisme, het waterniveau en de bevestiging ervan</t>
  </si>
  <si>
    <t>De stopkraan van de stortbak ontkalken en controleren op goede werking</t>
  </si>
  <si>
    <t>Het verwijderen van organische en anorganische vervuiling op de binnen- en buitenzijde van de wastafel</t>
  </si>
  <si>
    <t>Alle spiegels reinigen</t>
  </si>
  <si>
    <t>De gehele vloer en alle wanden reinigen met fantomat</t>
  </si>
  <si>
    <t>Technolap</t>
  </si>
  <si>
    <t>Technolab</t>
  </si>
  <si>
    <t>Lichtknop/stopcontact e.d.</t>
  </si>
  <si>
    <t>overige elementen, zijnde niet onderstaand genoemde elementen</t>
  </si>
  <si>
    <t>Stof-, vlek-, aanslag, streepvrij en kalkvrij</t>
  </si>
  <si>
    <t>Handelingen dieptereiniging sanitair</t>
  </si>
  <si>
    <t>Stof-, vlek-, aanslag en streepvrij. Geen zeepresten. Kalkvrij</t>
  </si>
  <si>
    <t>Douche wanden</t>
  </si>
  <si>
    <t>Douche koppen, kranen</t>
  </si>
  <si>
    <t>Banken</t>
  </si>
  <si>
    <t>Stof-, vlek-, aanslag, streepvrij en huidvet en kalkvrij</t>
  </si>
  <si>
    <t>Enkele vinger tasten of kleine zichtbare vlekken max. 3 tot 7 st..</t>
  </si>
  <si>
    <t xml:space="preserve">Enkele vinger tasten of kleine zichtbare vlekken, max. 1 tot 3 st. </t>
  </si>
  <si>
    <t>Sanitaire ruimten, kleedruimten</t>
  </si>
  <si>
    <t>Verkeersruimten</t>
  </si>
  <si>
    <t>Alle vloeren dienen vrij te zijn van proppen, papiersnippers, lijmresten en kauwgom</t>
  </si>
  <si>
    <t xml:space="preserve">Stof-, vlek-, aanslag, streepvrij </t>
  </si>
  <si>
    <t>Overige elementen kleedruimten</t>
  </si>
  <si>
    <t>Kleedruimten</t>
  </si>
  <si>
    <t>Kapstok, Kleedhaken</t>
  </si>
  <si>
    <t>00</t>
  </si>
  <si>
    <t>01</t>
  </si>
  <si>
    <t>02</t>
  </si>
  <si>
    <t>K1</t>
  </si>
  <si>
    <t>1</t>
  </si>
  <si>
    <t>10</t>
  </si>
  <si>
    <t>10A</t>
  </si>
  <si>
    <t>Schoonmaak</t>
  </si>
  <si>
    <t>10B</t>
  </si>
  <si>
    <t>MIVA</t>
  </si>
  <si>
    <t>11</t>
  </si>
  <si>
    <t>12</t>
  </si>
  <si>
    <t>12A</t>
  </si>
  <si>
    <t>13</t>
  </si>
  <si>
    <t>14</t>
  </si>
  <si>
    <t>15</t>
  </si>
  <si>
    <t>cockpit</t>
  </si>
  <si>
    <t>16</t>
  </si>
  <si>
    <t>Kantoortuin A&amp;S</t>
  </si>
  <si>
    <t>17</t>
  </si>
  <si>
    <t>Cockpit</t>
  </si>
  <si>
    <t>18</t>
  </si>
  <si>
    <t>19</t>
  </si>
  <si>
    <t>2</t>
  </si>
  <si>
    <t>20</t>
  </si>
  <si>
    <t>21</t>
  </si>
  <si>
    <t>23</t>
  </si>
  <si>
    <t>Kantoortuin PBSA</t>
  </si>
  <si>
    <t>24</t>
  </si>
  <si>
    <t>Financiën</t>
  </si>
  <si>
    <t>24A</t>
  </si>
  <si>
    <t>Garage</t>
  </si>
  <si>
    <t>3</t>
  </si>
  <si>
    <t>4</t>
  </si>
  <si>
    <t>Secretariaat</t>
  </si>
  <si>
    <t>5</t>
  </si>
  <si>
    <t>Grote zaal</t>
  </si>
  <si>
    <t>6</t>
  </si>
  <si>
    <t>Huttenbelt zaal</t>
  </si>
  <si>
    <t>7</t>
  </si>
  <si>
    <t>wachtruimte</t>
  </si>
  <si>
    <t>8</t>
  </si>
  <si>
    <t>Kleine zaal</t>
  </si>
  <si>
    <t>9</t>
  </si>
  <si>
    <t>Trapkast</t>
  </si>
  <si>
    <t>0</t>
  </si>
  <si>
    <t>Nooduitgang/portaal</t>
  </si>
  <si>
    <t>ICT</t>
  </si>
  <si>
    <t>Spreekkamer 2</t>
  </si>
  <si>
    <t>Communicatie</t>
  </si>
  <si>
    <t>4A</t>
  </si>
  <si>
    <t>toiletten</t>
  </si>
  <si>
    <t>Spreekkamer 1</t>
  </si>
  <si>
    <t>5A</t>
  </si>
  <si>
    <t>Schacht</t>
  </si>
  <si>
    <t>5B</t>
  </si>
  <si>
    <t>MT</t>
  </si>
  <si>
    <t>CVB</t>
  </si>
  <si>
    <t>Helpdesk ICT</t>
  </si>
  <si>
    <t>K.01</t>
  </si>
  <si>
    <t>K.02</t>
  </si>
  <si>
    <t>K.03</t>
  </si>
  <si>
    <t>K.04</t>
  </si>
  <si>
    <t>Archief kelder</t>
  </si>
  <si>
    <t>K.05</t>
  </si>
  <si>
    <t>Huisvesting &amp; Facilities</t>
  </si>
  <si>
    <t>K.06</t>
  </si>
  <si>
    <t>K.07</t>
  </si>
  <si>
    <t>Archief 1</t>
  </si>
  <si>
    <t>K.08</t>
  </si>
  <si>
    <t>K.09</t>
  </si>
  <si>
    <t>CV-Ruimte</t>
  </si>
  <si>
    <t>K.10</t>
  </si>
  <si>
    <t>K.11</t>
  </si>
  <si>
    <t>Archief Financiën</t>
  </si>
  <si>
    <t>K.12</t>
  </si>
  <si>
    <t>Ruimte categorie</t>
  </si>
  <si>
    <t>Kleedruimtes</t>
  </si>
  <si>
    <t>Ruimte gebruiks-intentie</t>
  </si>
  <si>
    <t>Vitrinekasten LW01 en Handel schoonmaken binnenzijde</t>
  </si>
  <si>
    <t>Prijs per m2</t>
  </si>
  <si>
    <t>Afzuigkappen buiten- en binnenzijde ontvetten en reinigen met RVS reiniger ; roosters ontvetten</t>
  </si>
  <si>
    <t>Roosters luchtbehandeling</t>
  </si>
  <si>
    <t>Perkgoed planten on onderhouden; 4x per jaar seizoens perkgoed. Buitenperk naast entree 20 m²</t>
  </si>
  <si>
    <t>Toelichting</t>
  </si>
  <si>
    <t>Omschrijving</t>
  </si>
  <si>
    <t>Conciërge taken (tussen 6.00 en 21.30 uur)</t>
  </si>
  <si>
    <t>Conciërge taken (avond, na 21.30 uur)</t>
  </si>
  <si>
    <t>0.30/0.31</t>
  </si>
  <si>
    <t>Repro / ICT-coördinator</t>
  </si>
  <si>
    <t>Reinigen bewegwijzeringsborden (buiten)</t>
  </si>
  <si>
    <t>Dak reinigen</t>
  </si>
  <si>
    <t>Dakgoten reinigen</t>
  </si>
  <si>
    <t>prijs per strekende meter</t>
  </si>
  <si>
    <t>Diverse werkzaamheden tbv avondopenstelling 40x p jr (18.00 - 22.30 uur)</t>
  </si>
  <si>
    <t>Lokaal 1.28 binnenzijde kastjes aanrecht e.d. schoonmaken</t>
  </si>
  <si>
    <t>Planning in overleg met opdrachtgever</t>
  </si>
  <si>
    <t>Aanvulling</t>
  </si>
  <si>
    <t>Prijs per stuk 1x per 2 weken wisselen</t>
  </si>
  <si>
    <t>Schoonloopmat buiten 120x180</t>
  </si>
  <si>
    <t>Schoonloopmat binnen 120x180</t>
  </si>
  <si>
    <t>Reinigen afzuigkanalen</t>
  </si>
  <si>
    <t>Koffieautomaat schoonmaken en aanvullen/service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</si>
</sst>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-&quot;fl&quot;\ * #,##0.00_-;_-&quot;fl&quot;\ * #,##0.00\-;_-&quot;fl&quot;\ * &quot;-&quot;??_-;_-@_-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0.000"/>
    <numFmt numFmtId="170" formatCode="0.000%"/>
    <numFmt numFmtId="171" formatCode="_([$€]* #,##0.00_);_([$€]* \(#,##0.00\);_([$€]* &quot;-&quot;??_);_(@_)"/>
    <numFmt numFmtId="172" formatCode="_-[$€-2]\ * #,##0.00_-;_-[$€-2]\ * #,##0.00\-;_-[$€-2]\ * &quot;-&quot;??_-;_-@_-"/>
    <numFmt numFmtId="173" formatCode="_ [$€-413]\ * #,##0.00_ ;_ [$€-413]\ * \-#,##0.00_ ;_ [$€-413]\ * &quot;-&quot;??_ ;_ @_ "/>
    <numFmt numFmtId="174" formatCode="0\ &quot;m2&quot;"/>
    <numFmt numFmtId="175" formatCode="_-&quot;F&quot;\ * #,##0_-;_-&quot;F&quot;\ * #,##0\-;_-&quot;F&quot;\ * &quot;-&quot;_-;_-@_-"/>
    <numFmt numFmtId="176" formatCode="_-&quot;F&quot;\ * #,##0.00_-;_-&quot;F&quot;\ * #,##0.00\-;_-&quot;F&quot;\ * &quot;-&quot;??_-;_-@_-"/>
    <numFmt numFmtId="177" formatCode="General\ &quot;m²&quot;"/>
    <numFmt numFmtId="178" formatCode="0.00\ &quot;m²&quot;"/>
    <numFmt numFmtId="179" formatCode="#,##0.0"/>
    <numFmt numFmtId="180" formatCode="#,##0_ ;\-#,##0\ "/>
    <numFmt numFmtId="181" formatCode="#,##0.0_ ;\-#,##0.0\ "/>
    <numFmt numFmtId="182" formatCode="_ [$€-2]\ * #,##0.00_ ;_ [$€-2]\ * \-#,##0.00_ ;_ [$€-2]\ * &quot;-&quot;??_ ;_ @_ "/>
    <numFmt numFmtId="183" formatCode="_(* #,##0.0_);_(* \(#,##0.0\);_(* &quot;-&quot;??_);_(@_)"/>
    <numFmt numFmtId="184" formatCode="&quot;€&quot;\ #,##0.00"/>
  </numFmts>
  <fonts count="5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u/>
      <sz val="10"/>
      <color indexed="36"/>
      <name val="Univers"/>
      <family val="2"/>
    </font>
    <font>
      <b/>
      <sz val="10"/>
      <name val="Arial"/>
      <family val="2"/>
    </font>
    <font>
      <sz val="9"/>
      <name val="Humnst777 BT"/>
      <family val="2"/>
    </font>
    <font>
      <sz val="10"/>
      <name val="Courier"/>
      <family val="3"/>
    </font>
    <font>
      <b/>
      <sz val="11"/>
      <color indexed="9"/>
      <name val="Century Gothic"/>
      <family val="2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9"/>
      <name val="Verdana"/>
      <family val="2"/>
    </font>
    <font>
      <b/>
      <u/>
      <sz val="9"/>
      <name val="Verdana"/>
      <family val="2"/>
    </font>
    <font>
      <b/>
      <sz val="9"/>
      <name val="Verdana"/>
      <family val="2"/>
    </font>
    <font>
      <sz val="9"/>
      <color indexed="9"/>
      <name val="Verdana"/>
      <family val="2"/>
    </font>
    <font>
      <u/>
      <sz val="9"/>
      <name val="Verdana"/>
      <family val="2"/>
    </font>
    <font>
      <vertAlign val="superscript"/>
      <sz val="9"/>
      <name val="Verdana"/>
      <family val="2"/>
    </font>
    <font>
      <sz val="9"/>
      <color indexed="8"/>
      <name val="Verdana"/>
      <family val="2"/>
    </font>
    <font>
      <b/>
      <sz val="9"/>
      <color indexed="8"/>
      <name val="Verdana"/>
      <family val="2"/>
    </font>
    <font>
      <b/>
      <u/>
      <sz val="12"/>
      <name val="Verdana"/>
      <family val="2"/>
    </font>
    <font>
      <b/>
      <sz val="9"/>
      <color theme="0"/>
      <name val="Verdana"/>
      <family val="2"/>
    </font>
    <font>
      <sz val="9"/>
      <color theme="0"/>
      <name val="Verdana"/>
      <family val="2"/>
    </font>
    <font>
      <sz val="9"/>
      <color theme="1"/>
      <name val="Verdana"/>
      <family val="2"/>
    </font>
    <font>
      <sz val="9"/>
      <color theme="4"/>
      <name val="Verdana"/>
      <family val="2"/>
    </font>
    <font>
      <b/>
      <sz val="9"/>
      <color theme="1"/>
      <name val="Verdana"/>
      <family val="2"/>
    </font>
    <font>
      <sz val="9"/>
      <name val="Verdana"/>
      <family val="2"/>
    </font>
    <font>
      <sz val="10"/>
      <name val="Verdana"/>
      <family val="2"/>
    </font>
    <font>
      <sz val="10"/>
      <color theme="1"/>
      <name val="Verdana"/>
      <family val="2"/>
    </font>
    <font>
      <sz val="10"/>
      <name val="Arial"/>
      <family val="2"/>
    </font>
    <font>
      <sz val="9"/>
      <name val="Verdana"/>
      <family val="2"/>
    </font>
    <font>
      <b/>
      <sz val="9"/>
      <color rgb="FFFF0000"/>
      <name val="Verdana"/>
      <family val="2"/>
    </font>
    <font>
      <sz val="9"/>
      <name val="Geneva"/>
    </font>
    <font>
      <sz val="10"/>
      <color indexed="8"/>
      <name val="Arial"/>
      <family val="2"/>
    </font>
    <font>
      <sz val="9"/>
      <name val="Verdana"/>
      <family val="2"/>
    </font>
    <font>
      <sz val="9"/>
      <name val="Verdana"/>
      <family val="2"/>
    </font>
    <font>
      <b/>
      <sz val="9"/>
      <color rgb="FFFFFFFF"/>
      <name val="Verdana"/>
      <family val="2"/>
    </font>
    <font>
      <b/>
      <sz val="12"/>
      <color theme="0"/>
      <name val="Verdana"/>
      <family val="2"/>
    </font>
    <font>
      <b/>
      <i/>
      <sz val="10"/>
      <name val="Arial"/>
      <family val="2"/>
    </font>
    <font>
      <sz val="9"/>
      <color theme="1"/>
      <name val="Verdana"/>
      <family val="2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1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/>
        <bgColor theme="4"/>
      </patternFill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theme="4" tint="0.79998168889431442"/>
      </patternFill>
    </fill>
    <fill>
      <patternFill patternType="solid">
        <fgColor theme="0" tint="-0.249977111117893"/>
        <bgColor theme="4" tint="0.5999938962981048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4" tint="0.59999389629810485"/>
      </patternFill>
    </fill>
    <fill>
      <patternFill patternType="solid">
        <fgColor rgb="FFFFFF00"/>
        <bgColor theme="4" tint="0.79998168889431442"/>
      </patternFill>
    </fill>
  </fills>
  <borders count="25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/>
      <top style="thick">
        <color theme="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8">
    <xf numFmtId="0" fontId="0" fillId="0" borderId="0"/>
    <xf numFmtId="0" fontId="12" fillId="0" borderId="0"/>
    <xf numFmtId="171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168" fontId="5" fillId="0" borderId="0" applyFont="0" applyFill="0" applyBorder="0" applyAlignment="0" applyProtection="0"/>
    <xf numFmtId="168" fontId="4" fillId="0" borderId="0" applyFont="0" applyFill="0" applyBorder="0" applyAlignment="0" applyProtection="0"/>
    <xf numFmtId="165" fontId="7" fillId="0" borderId="0">
      <alignment horizontal="center" vertical="center" textRotation="90" wrapText="1"/>
    </xf>
    <xf numFmtId="0" fontId="14" fillId="2" borderId="1"/>
    <xf numFmtId="174" fontId="8" fillId="0" borderId="0"/>
    <xf numFmtId="0" fontId="15" fillId="0" borderId="0" applyNumberFormat="0" applyBorder="0">
      <protection locked="0"/>
    </xf>
    <xf numFmtId="0" fontId="16" fillId="0" borderId="0"/>
    <xf numFmtId="0" fontId="17" fillId="3" borderId="2" applyNumberFormat="0" applyFont="0" applyFill="0" applyBorder="0" applyAlignment="0">
      <alignment horizontal="right"/>
    </xf>
    <xf numFmtId="0" fontId="14" fillId="4" borderId="3" applyNumberFormat="0" applyFont="0" applyBorder="0">
      <alignment horizontal="center"/>
    </xf>
    <xf numFmtId="0" fontId="10" fillId="0" borderId="0"/>
    <xf numFmtId="0" fontId="21" fillId="0" borderId="0"/>
    <xf numFmtId="0" fontId="4" fillId="0" borderId="0"/>
    <xf numFmtId="167" fontId="4" fillId="0" borderId="0" applyFont="0" applyFill="0" applyBorder="0" applyAlignment="0" applyProtection="0"/>
    <xf numFmtId="175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8" fillId="2" borderId="1"/>
    <xf numFmtId="0" fontId="4" fillId="0" borderId="0"/>
    <xf numFmtId="0" fontId="3" fillId="0" borderId="0"/>
    <xf numFmtId="9" fontId="4" fillId="0" borderId="0" applyFont="0" applyFill="0" applyBorder="0" applyAlignment="0" applyProtection="0"/>
    <xf numFmtId="0" fontId="2" fillId="0" borderId="0"/>
    <xf numFmtId="44" fontId="4" fillId="0" borderId="0" applyFont="0" applyFill="0" applyBorder="0" applyAlignment="0" applyProtection="0"/>
    <xf numFmtId="0" fontId="2" fillId="0" borderId="0"/>
    <xf numFmtId="4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44" fontId="41" fillId="0" borderId="0" applyFont="0" applyFill="0" applyBorder="0" applyAlignment="0" applyProtection="0"/>
    <xf numFmtId="0" fontId="4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71">
    <xf numFmtId="0" fontId="0" fillId="0" borderId="0" xfId="0"/>
    <xf numFmtId="0" fontId="24" fillId="0" borderId="0" xfId="0" applyFont="1" applyAlignment="1">
      <alignment horizontal="center"/>
    </xf>
    <xf numFmtId="0" fontId="24" fillId="0" borderId="0" xfId="0" applyFont="1"/>
    <xf numFmtId="0" fontId="30" fillId="0" borderId="0" xfId="29" applyFont="1"/>
    <xf numFmtId="0" fontId="24" fillId="0" borderId="0" xfId="0" applyFont="1" applyAlignment="1">
      <alignment vertical="center"/>
    </xf>
    <xf numFmtId="0" fontId="26" fillId="0" borderId="0" xfId="0" applyFont="1" applyAlignment="1">
      <alignment horizontal="center"/>
    </xf>
    <xf numFmtId="169" fontId="24" fillId="0" borderId="0" xfId="0" applyNumberFormat="1" applyFont="1"/>
    <xf numFmtId="2" fontId="24" fillId="0" borderId="0" xfId="0" applyNumberFormat="1" applyFont="1"/>
    <xf numFmtId="0" fontId="24" fillId="0" borderId="0" xfId="0" applyFont="1" applyAlignment="1">
      <alignment vertical="center" wrapText="1"/>
    </xf>
    <xf numFmtId="0" fontId="24" fillId="0" borderId="0" xfId="30" applyFont="1" applyAlignment="1">
      <alignment vertical="center"/>
    </xf>
    <xf numFmtId="164" fontId="24" fillId="5" borderId="8" xfId="0" applyNumberFormat="1" applyFont="1" applyFill="1" applyBorder="1" applyAlignment="1">
      <alignment horizontal="left" vertical="center"/>
    </xf>
    <xf numFmtId="10" fontId="24" fillId="5" borderId="8" xfId="0" applyNumberFormat="1" applyFont="1" applyFill="1" applyBorder="1" applyAlignment="1">
      <alignment horizontal="center" vertical="center"/>
    </xf>
    <xf numFmtId="173" fontId="24" fillId="0" borderId="8" xfId="0" applyNumberFormat="1" applyFont="1" applyBorder="1" applyAlignment="1">
      <alignment vertical="center"/>
    </xf>
    <xf numFmtId="10" fontId="24" fillId="0" borderId="8" xfId="0" applyNumberFormat="1" applyFont="1" applyBorder="1" applyAlignment="1">
      <alignment horizontal="center" vertical="center"/>
    </xf>
    <xf numFmtId="171" fontId="24" fillId="0" borderId="8" xfId="2" applyFont="1" applyBorder="1" applyAlignment="1" applyProtection="1">
      <alignment horizontal="left" vertical="center"/>
      <protection locked="0"/>
    </xf>
    <xf numFmtId="172" fontId="24" fillId="0" borderId="8" xfId="31" applyNumberFormat="1" applyFont="1" applyBorder="1" applyAlignment="1" applyProtection="1">
      <alignment horizontal="left" vertical="center"/>
      <protection hidden="1"/>
    </xf>
    <xf numFmtId="0" fontId="28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170" fontId="24" fillId="0" borderId="0" xfId="0" applyNumberFormat="1" applyFont="1" applyAlignment="1">
      <alignment vertical="center"/>
    </xf>
    <xf numFmtId="170" fontId="24" fillId="0" borderId="0" xfId="0" applyNumberFormat="1" applyFont="1" applyAlignment="1" applyProtection="1">
      <alignment horizontal="center" vertical="center"/>
      <protection locked="0"/>
    </xf>
    <xf numFmtId="166" fontId="24" fillId="0" borderId="0" xfId="0" applyNumberFormat="1" applyFont="1" applyAlignment="1" applyProtection="1">
      <alignment horizontal="left" vertical="center"/>
      <protection hidden="1"/>
    </xf>
    <xf numFmtId="0" fontId="24" fillId="0" borderId="0" xfId="0" applyFont="1" applyAlignment="1">
      <alignment horizontal="center" vertical="center"/>
    </xf>
    <xf numFmtId="170" fontId="24" fillId="0" borderId="0" xfId="0" applyNumberFormat="1" applyFont="1" applyAlignment="1">
      <alignment horizontal="center" vertical="center"/>
    </xf>
    <xf numFmtId="172" fontId="24" fillId="0" borderId="0" xfId="31" applyNumberFormat="1" applyFont="1" applyAlignment="1" applyProtection="1">
      <alignment horizontal="left" vertical="center"/>
      <protection hidden="1"/>
    </xf>
    <xf numFmtId="171" fontId="24" fillId="0" borderId="0" xfId="2" applyFont="1" applyAlignment="1" applyProtection="1">
      <alignment horizontal="left" vertical="center"/>
      <protection locked="0"/>
    </xf>
    <xf numFmtId="9" fontId="24" fillId="0" borderId="8" xfId="0" applyNumberFormat="1" applyFont="1" applyBorder="1" applyAlignment="1">
      <alignment horizontal="center" vertical="center"/>
    </xf>
    <xf numFmtId="173" fontId="24" fillId="0" borderId="8" xfId="0" applyNumberFormat="1" applyFont="1" applyBorder="1" applyAlignment="1" applyProtection="1">
      <alignment vertical="center"/>
      <protection locked="0"/>
    </xf>
    <xf numFmtId="173" fontId="24" fillId="0" borderId="8" xfId="2" applyNumberFormat="1" applyFont="1" applyBorder="1" applyAlignment="1" applyProtection="1">
      <alignment horizontal="left" vertical="center"/>
      <protection hidden="1"/>
    </xf>
    <xf numFmtId="173" fontId="24" fillId="0" borderId="0" xfId="0" applyNumberFormat="1" applyFont="1" applyAlignment="1">
      <alignment vertical="center"/>
    </xf>
    <xf numFmtId="0" fontId="24" fillId="0" borderId="0" xfId="30" applyFont="1" applyAlignment="1">
      <alignment vertical="center" wrapText="1"/>
    </xf>
    <xf numFmtId="0" fontId="24" fillId="0" borderId="0" xfId="30" applyFont="1" applyAlignment="1">
      <alignment horizontal="center" vertical="center"/>
    </xf>
    <xf numFmtId="0" fontId="24" fillId="0" borderId="0" xfId="0" applyFont="1" applyAlignment="1">
      <alignment wrapText="1"/>
    </xf>
    <xf numFmtId="2" fontId="24" fillId="0" borderId="0" xfId="0" applyNumberFormat="1" applyFont="1" applyAlignment="1">
      <alignment vertical="center" wrapText="1"/>
    </xf>
    <xf numFmtId="0" fontId="24" fillId="0" borderId="0" xfId="0" applyFont="1" applyAlignment="1">
      <alignment horizontal="center" vertical="center" wrapText="1"/>
    </xf>
    <xf numFmtId="4" fontId="24" fillId="0" borderId="0" xfId="0" applyNumberFormat="1" applyFont="1" applyAlignment="1">
      <alignment vertical="center"/>
    </xf>
    <xf numFmtId="4" fontId="24" fillId="0" borderId="0" xfId="0" applyNumberFormat="1" applyFont="1" applyAlignment="1">
      <alignment horizontal="center" vertical="center"/>
    </xf>
    <xf numFmtId="164" fontId="24" fillId="0" borderId="0" xfId="8" applyFont="1" applyAlignment="1">
      <alignment vertical="center"/>
    </xf>
    <xf numFmtId="0" fontId="26" fillId="0" borderId="0" xfId="0" applyFont="1" applyAlignment="1">
      <alignment vertical="center"/>
    </xf>
    <xf numFmtId="3" fontId="24" fillId="0" borderId="0" xfId="0" applyNumberFormat="1" applyFont="1" applyAlignment="1">
      <alignment horizontal="center" vertical="center"/>
    </xf>
    <xf numFmtId="2" fontId="27" fillId="0" borderId="0" xfId="0" applyNumberFormat="1" applyFont="1" applyAlignment="1">
      <alignment horizontal="left" vertical="center"/>
    </xf>
    <xf numFmtId="164" fontId="24" fillId="6" borderId="0" xfId="0" applyNumberFormat="1" applyFont="1" applyFill="1" applyAlignment="1">
      <alignment horizontal="center" vertical="center"/>
    </xf>
    <xf numFmtId="3" fontId="24" fillId="0" borderId="0" xfId="8" applyNumberFormat="1" applyFont="1" applyAlignment="1">
      <alignment vertical="center"/>
    </xf>
    <xf numFmtId="0" fontId="31" fillId="0" borderId="0" xfId="29" applyFont="1"/>
    <xf numFmtId="0" fontId="30" fillId="0" borderId="0" xfId="29" applyFont="1" applyAlignment="1">
      <alignment horizontal="center" vertical="center"/>
    </xf>
    <xf numFmtId="173" fontId="34" fillId="9" borderId="12" xfId="0" applyNumberFormat="1" applyFont="1" applyFill="1" applyBorder="1" applyAlignment="1">
      <alignment horizontal="center" vertical="center" wrapText="1"/>
    </xf>
    <xf numFmtId="1" fontId="35" fillId="8" borderId="0" xfId="30" applyNumberFormat="1" applyFont="1" applyFill="1" applyAlignment="1">
      <alignment horizontal="center" vertical="center"/>
    </xf>
    <xf numFmtId="0" fontId="35" fillId="8" borderId="0" xfId="30" applyFont="1" applyFill="1" applyAlignment="1">
      <alignment horizontal="left" vertical="center"/>
    </xf>
    <xf numFmtId="1" fontId="35" fillId="7" borderId="0" xfId="30" applyNumberFormat="1" applyFont="1" applyFill="1" applyAlignment="1">
      <alignment horizontal="center" vertical="center"/>
    </xf>
    <xf numFmtId="0" fontId="35" fillId="7" borderId="0" xfId="30" applyFont="1" applyFill="1" applyAlignment="1">
      <alignment horizontal="left" vertical="center"/>
    </xf>
    <xf numFmtId="0" fontId="34" fillId="9" borderId="0" xfId="0" applyFont="1" applyFill="1" applyAlignment="1">
      <alignment horizontal="center" vertical="center" wrapText="1"/>
    </xf>
    <xf numFmtId="0" fontId="34" fillId="9" borderId="0" xfId="0" applyFont="1" applyFill="1" applyAlignment="1">
      <alignment vertical="center" wrapText="1"/>
    </xf>
    <xf numFmtId="164" fontId="34" fillId="9" borderId="0" xfId="0" applyNumberFormat="1" applyFont="1" applyFill="1" applyAlignment="1">
      <alignment horizontal="center" vertical="center" wrapText="1"/>
    </xf>
    <xf numFmtId="0" fontId="35" fillId="8" borderId="0" xfId="0" applyFont="1" applyFill="1" applyAlignment="1">
      <alignment horizontal="center" vertical="center"/>
    </xf>
    <xf numFmtId="0" fontId="35" fillId="8" borderId="0" xfId="0" applyFont="1" applyFill="1" applyAlignment="1">
      <alignment vertical="center"/>
    </xf>
    <xf numFmtId="164" fontId="35" fillId="5" borderId="0" xfId="0" applyNumberFormat="1" applyFont="1" applyFill="1" applyAlignment="1">
      <alignment horizontal="center" vertical="center"/>
    </xf>
    <xf numFmtId="0" fontId="35" fillId="7" borderId="0" xfId="0" applyFont="1" applyFill="1" applyAlignment="1">
      <alignment horizontal="center" vertical="center"/>
    </xf>
    <xf numFmtId="0" fontId="35" fillId="7" borderId="0" xfId="0" applyFont="1" applyFill="1" applyAlignment="1">
      <alignment vertical="center"/>
    </xf>
    <xf numFmtId="0" fontId="35" fillId="8" borderId="0" xfId="0" applyFont="1" applyFill="1" applyAlignment="1">
      <alignment horizontal="left" vertical="center"/>
    </xf>
    <xf numFmtId="4" fontId="35" fillId="7" borderId="0" xfId="0" applyNumberFormat="1" applyFont="1" applyFill="1" applyAlignment="1">
      <alignment horizontal="left" vertical="center"/>
    </xf>
    <xf numFmtId="0" fontId="35" fillId="7" borderId="0" xfId="0" applyFont="1" applyFill="1" applyAlignment="1">
      <alignment horizontal="left" vertical="center"/>
    </xf>
    <xf numFmtId="4" fontId="34" fillId="9" borderId="0" xfId="0" applyNumberFormat="1" applyFont="1" applyFill="1" applyAlignment="1">
      <alignment horizontal="center" vertical="center" wrapText="1"/>
    </xf>
    <xf numFmtId="164" fontId="34" fillId="9" borderId="0" xfId="8" applyFont="1" applyFill="1" applyAlignment="1">
      <alignment horizontal="center" vertical="center" wrapText="1"/>
    </xf>
    <xf numFmtId="4" fontId="35" fillId="8" borderId="0" xfId="0" applyNumberFormat="1" applyFont="1" applyFill="1" applyAlignment="1">
      <alignment vertical="center"/>
    </xf>
    <xf numFmtId="4" fontId="35" fillId="8" borderId="0" xfId="0" applyNumberFormat="1" applyFont="1" applyFill="1" applyAlignment="1">
      <alignment horizontal="center" vertical="center"/>
    </xf>
    <xf numFmtId="173" fontId="35" fillId="8" borderId="0" xfId="0" applyNumberFormat="1" applyFont="1" applyFill="1" applyAlignment="1">
      <alignment horizontal="center" vertical="center"/>
    </xf>
    <xf numFmtId="3" fontId="35" fillId="8" borderId="0" xfId="0" applyNumberFormat="1" applyFont="1" applyFill="1" applyAlignment="1">
      <alignment horizontal="center" vertical="center"/>
    </xf>
    <xf numFmtId="4" fontId="35" fillId="7" borderId="0" xfId="0" applyNumberFormat="1" applyFont="1" applyFill="1" applyAlignment="1">
      <alignment vertical="center"/>
    </xf>
    <xf numFmtId="4" fontId="35" fillId="7" borderId="0" xfId="0" applyNumberFormat="1" applyFont="1" applyFill="1" applyAlignment="1">
      <alignment horizontal="center" vertical="center"/>
    </xf>
    <xf numFmtId="173" fontId="35" fillId="7" borderId="0" xfId="0" applyNumberFormat="1" applyFont="1" applyFill="1" applyAlignment="1">
      <alignment horizontal="center" vertical="center"/>
    </xf>
    <xf numFmtId="3" fontId="35" fillId="7" borderId="0" xfId="0" applyNumberFormat="1" applyFont="1" applyFill="1" applyAlignment="1">
      <alignment horizontal="center" vertical="center"/>
    </xf>
    <xf numFmtId="0" fontId="24" fillId="6" borderId="0" xfId="0" applyFont="1" applyFill="1"/>
    <xf numFmtId="0" fontId="24" fillId="6" borderId="0" xfId="0" applyFont="1" applyFill="1" applyAlignment="1">
      <alignment horizontal="center"/>
    </xf>
    <xf numFmtId="0" fontId="24" fillId="6" borderId="0" xfId="0" applyFont="1" applyFill="1" applyAlignment="1">
      <alignment wrapText="1"/>
    </xf>
    <xf numFmtId="0" fontId="26" fillId="0" borderId="0" xfId="0" applyFont="1" applyAlignment="1">
      <alignment horizontal="center" vertical="center" wrapText="1"/>
    </xf>
    <xf numFmtId="0" fontId="33" fillId="9" borderId="0" xfId="0" applyFont="1" applyFill="1" applyAlignment="1">
      <alignment horizontal="center" vertical="center" wrapText="1"/>
    </xf>
    <xf numFmtId="4" fontId="33" fillId="9" borderId="0" xfId="0" applyNumberFormat="1" applyFont="1" applyFill="1" applyAlignment="1">
      <alignment horizontal="center" vertical="center" wrapText="1"/>
    </xf>
    <xf numFmtId="164" fontId="33" fillId="9" borderId="0" xfId="8" applyFont="1" applyFill="1" applyAlignment="1">
      <alignment horizontal="center" vertical="center" wrapText="1"/>
    </xf>
    <xf numFmtId="0" fontId="24" fillId="0" borderId="0" xfId="0" applyFont="1" applyAlignment="1">
      <alignment horizontal="center" vertical="center" textRotation="90"/>
    </xf>
    <xf numFmtId="0" fontId="24" fillId="0" borderId="8" xfId="0" applyFont="1" applyBorder="1" applyAlignment="1">
      <alignment horizontal="center" vertical="center" textRotation="90"/>
    </xf>
    <xf numFmtId="0" fontId="32" fillId="0" borderId="0" xfId="30" applyFont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textRotation="90" wrapText="1"/>
    </xf>
    <xf numFmtId="173" fontId="24" fillId="5" borderId="0" xfId="0" applyNumberFormat="1" applyFont="1" applyFill="1" applyAlignment="1">
      <alignment vertical="center"/>
    </xf>
    <xf numFmtId="0" fontId="24" fillId="6" borderId="0" xfId="0" applyFont="1" applyFill="1" applyAlignment="1">
      <alignment horizontal="center" vertical="center" textRotation="90"/>
    </xf>
    <xf numFmtId="0" fontId="24" fillId="6" borderId="0" xfId="0" applyFont="1" applyFill="1" applyAlignment="1">
      <alignment vertical="center"/>
    </xf>
    <xf numFmtId="168" fontId="24" fillId="0" borderId="0" xfId="19" applyFont="1" applyAlignment="1">
      <alignment horizontal="center" vertical="center" wrapText="1"/>
    </xf>
    <xf numFmtId="173" fontId="24" fillId="0" borderId="0" xfId="0" applyNumberFormat="1" applyFont="1" applyAlignment="1">
      <alignment horizontal="center" vertical="center" wrapText="1"/>
    </xf>
    <xf numFmtId="0" fontId="24" fillId="6" borderId="0" xfId="0" applyFont="1" applyFill="1" applyAlignment="1">
      <alignment horizontal="center" vertical="center" wrapText="1"/>
    </xf>
    <xf numFmtId="0" fontId="24" fillId="6" borderId="0" xfId="0" applyFont="1" applyFill="1" applyAlignment="1">
      <alignment vertical="center" wrapText="1"/>
    </xf>
    <xf numFmtId="2" fontId="24" fillId="6" borderId="0" xfId="0" applyNumberFormat="1" applyFont="1" applyFill="1"/>
    <xf numFmtId="169" fontId="24" fillId="6" borderId="0" xfId="0" applyNumberFormat="1" applyFont="1" applyFill="1"/>
    <xf numFmtId="17" fontId="24" fillId="6" borderId="0" xfId="0" applyNumberFormat="1" applyFont="1" applyFill="1" applyAlignment="1">
      <alignment horizontal="center"/>
    </xf>
    <xf numFmtId="2" fontId="26" fillId="6" borderId="0" xfId="0" applyNumberFormat="1" applyFont="1" applyFill="1" applyAlignment="1">
      <alignment vertical="center"/>
    </xf>
    <xf numFmtId="169" fontId="24" fillId="6" borderId="0" xfId="0" applyNumberFormat="1" applyFont="1" applyFill="1" applyAlignment="1">
      <alignment vertical="center"/>
    </xf>
    <xf numFmtId="0" fontId="24" fillId="6" borderId="0" xfId="0" applyFont="1" applyFill="1" applyAlignment="1">
      <alignment horizontal="center" vertical="center"/>
    </xf>
    <xf numFmtId="169" fontId="24" fillId="6" borderId="0" xfId="0" applyNumberFormat="1" applyFont="1" applyFill="1" applyAlignment="1">
      <alignment wrapText="1"/>
    </xf>
    <xf numFmtId="0" fontId="34" fillId="10" borderId="8" xfId="0" applyFont="1" applyFill="1" applyBorder="1" applyAlignment="1">
      <alignment horizontal="center" vertical="center" wrapText="1"/>
    </xf>
    <xf numFmtId="170" fontId="34" fillId="10" borderId="8" xfId="0" applyNumberFormat="1" applyFont="1" applyFill="1" applyBorder="1" applyAlignment="1">
      <alignment horizontal="center" vertical="center" wrapText="1"/>
    </xf>
    <xf numFmtId="0" fontId="33" fillId="10" borderId="6" xfId="0" applyFont="1" applyFill="1" applyBorder="1" applyAlignment="1">
      <alignment vertical="center" wrapText="1"/>
    </xf>
    <xf numFmtId="0" fontId="33" fillId="10" borderId="4" xfId="0" applyFont="1" applyFill="1" applyBorder="1" applyAlignment="1">
      <alignment vertical="center" wrapText="1"/>
    </xf>
    <xf numFmtId="0" fontId="24" fillId="0" borderId="0" xfId="30" applyFont="1" applyAlignment="1">
      <alignment horizontal="center" vertical="center" wrapText="1"/>
    </xf>
    <xf numFmtId="0" fontId="26" fillId="6" borderId="0" xfId="0" applyFont="1" applyFill="1" applyAlignment="1">
      <alignment horizontal="left" vertical="center"/>
    </xf>
    <xf numFmtId="2" fontId="26" fillId="5" borderId="0" xfId="0" applyNumberFormat="1" applyFont="1" applyFill="1" applyAlignment="1">
      <alignment horizontal="center" vertical="center"/>
    </xf>
    <xf numFmtId="0" fontId="25" fillId="0" borderId="0" xfId="30" applyFont="1" applyAlignment="1">
      <alignment horizontal="center" vertical="center"/>
    </xf>
    <xf numFmtId="9" fontId="26" fillId="5" borderId="0" xfId="38" applyFont="1" applyFill="1" applyAlignment="1">
      <alignment horizontal="center" vertical="center"/>
    </xf>
    <xf numFmtId="2" fontId="24" fillId="6" borderId="0" xfId="0" applyNumberFormat="1" applyFont="1" applyFill="1" applyAlignment="1">
      <alignment vertical="center"/>
    </xf>
    <xf numFmtId="17" fontId="24" fillId="6" borderId="0" xfId="0" applyNumberFormat="1" applyFont="1" applyFill="1" applyAlignment="1">
      <alignment horizontal="center" vertical="center"/>
    </xf>
    <xf numFmtId="177" fontId="24" fillId="6" borderId="0" xfId="0" applyNumberFormat="1" applyFont="1" applyFill="1" applyAlignment="1">
      <alignment vertical="center"/>
    </xf>
    <xf numFmtId="177" fontId="24" fillId="6" borderId="0" xfId="0" applyNumberFormat="1" applyFont="1" applyFill="1" applyAlignment="1">
      <alignment horizontal="center" vertical="center"/>
    </xf>
    <xf numFmtId="2" fontId="24" fillId="6" borderId="0" xfId="0" applyNumberFormat="1" applyFont="1" applyFill="1" applyAlignment="1" applyProtection="1">
      <alignment vertical="center"/>
      <protection hidden="1"/>
    </xf>
    <xf numFmtId="177" fontId="24" fillId="0" borderId="0" xfId="0" applyNumberFormat="1" applyFont="1" applyAlignment="1">
      <alignment vertical="center"/>
    </xf>
    <xf numFmtId="177" fontId="24" fillId="0" borderId="0" xfId="0" applyNumberFormat="1" applyFont="1" applyAlignment="1">
      <alignment horizontal="center" vertical="center"/>
    </xf>
    <xf numFmtId="0" fontId="24" fillId="0" borderId="0" xfId="0" applyFont="1" applyAlignment="1" applyProtection="1">
      <alignment vertical="center"/>
      <protection hidden="1"/>
    </xf>
    <xf numFmtId="169" fontId="24" fillId="0" borderId="0" xfId="0" applyNumberFormat="1" applyFont="1" applyAlignment="1" applyProtection="1">
      <alignment vertical="center"/>
      <protection hidden="1"/>
    </xf>
    <xf numFmtId="2" fontId="24" fillId="0" borderId="0" xfId="0" applyNumberFormat="1" applyFont="1" applyAlignment="1" applyProtection="1">
      <alignment vertical="center"/>
      <protection hidden="1"/>
    </xf>
    <xf numFmtId="168" fontId="24" fillId="0" borderId="0" xfId="19" applyFont="1" applyAlignment="1">
      <alignment vertical="center"/>
    </xf>
    <xf numFmtId="0" fontId="33" fillId="9" borderId="16" xfId="0" applyFont="1" applyFill="1" applyBorder="1" applyAlignment="1">
      <alignment horizontal="center" vertical="center" wrapText="1"/>
    </xf>
    <xf numFmtId="9" fontId="37" fillId="5" borderId="19" xfId="38" applyFont="1" applyFill="1" applyBorder="1" applyAlignment="1">
      <alignment horizontal="center" vertical="center"/>
    </xf>
    <xf numFmtId="2" fontId="33" fillId="0" borderId="14" xfId="0" applyNumberFormat="1" applyFont="1" applyBorder="1" applyAlignment="1">
      <alignment vertical="center" wrapText="1"/>
    </xf>
    <xf numFmtId="2" fontId="33" fillId="0" borderId="15" xfId="0" applyNumberFormat="1" applyFont="1" applyBorder="1" applyAlignment="1">
      <alignment vertical="center" wrapText="1"/>
    </xf>
    <xf numFmtId="0" fontId="33" fillId="0" borderId="15" xfId="0" applyFont="1" applyBorder="1" applyAlignment="1">
      <alignment vertical="center" wrapText="1"/>
    </xf>
    <xf numFmtId="169" fontId="24" fillId="0" borderId="0" xfId="0" applyNumberFormat="1" applyFont="1" applyAlignment="1">
      <alignment vertical="center"/>
    </xf>
    <xf numFmtId="0" fontId="35" fillId="0" borderId="18" xfId="30" applyFont="1" applyBorder="1" applyAlignment="1">
      <alignment vertical="center"/>
    </xf>
    <xf numFmtId="2" fontId="24" fillId="0" borderId="0" xfId="0" applyNumberFormat="1" applyFont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170" fontId="24" fillId="5" borderId="0" xfId="0" applyNumberFormat="1" applyFont="1" applyFill="1" applyAlignment="1">
      <alignment vertical="center"/>
    </xf>
    <xf numFmtId="0" fontId="24" fillId="6" borderId="0" xfId="0" applyFont="1" applyFill="1" applyAlignment="1">
      <alignment horizontal="left" vertical="center"/>
    </xf>
    <xf numFmtId="0" fontId="24" fillId="6" borderId="0" xfId="0" applyFont="1" applyFill="1" applyAlignment="1">
      <alignment horizontal="center" wrapText="1"/>
    </xf>
    <xf numFmtId="17" fontId="26" fillId="6" borderId="0" xfId="0" applyNumberFormat="1" applyFont="1" applyFill="1" applyAlignment="1">
      <alignment horizontal="center"/>
    </xf>
    <xf numFmtId="0" fontId="26" fillId="6" borderId="0" xfId="0" applyFont="1" applyFill="1" applyAlignment="1">
      <alignment horizontal="center"/>
    </xf>
    <xf numFmtId="0" fontId="36" fillId="0" borderId="0" xfId="0" applyFont="1" applyAlignment="1">
      <alignment vertical="center" wrapText="1"/>
    </xf>
    <xf numFmtId="0" fontId="36" fillId="0" borderId="0" xfId="0" applyFont="1" applyAlignment="1">
      <alignment wrapText="1"/>
    </xf>
    <xf numFmtId="0" fontId="34" fillId="9" borderId="8" xfId="0" applyFont="1" applyFill="1" applyBorder="1" applyAlignment="1">
      <alignment horizontal="center" vertical="center" wrapText="1"/>
    </xf>
    <xf numFmtId="0" fontId="34" fillId="9" borderId="8" xfId="0" applyFont="1" applyFill="1" applyBorder="1" applyAlignment="1">
      <alignment horizontal="left" vertical="center" wrapText="1"/>
    </xf>
    <xf numFmtId="168" fontId="34" fillId="9" borderId="8" xfId="19" applyFont="1" applyFill="1" applyBorder="1" applyAlignment="1">
      <alignment horizontal="center" vertical="center" wrapText="1"/>
    </xf>
    <xf numFmtId="173" fontId="34" fillId="9" borderId="8" xfId="0" applyNumberFormat="1" applyFont="1" applyFill="1" applyBorder="1" applyAlignment="1">
      <alignment horizontal="center" vertical="center" wrapText="1"/>
    </xf>
    <xf numFmtId="0" fontId="30" fillId="0" borderId="0" xfId="29" applyFont="1" applyAlignment="1">
      <alignment horizontal="center"/>
    </xf>
    <xf numFmtId="0" fontId="35" fillId="7" borderId="8" xfId="0" applyFont="1" applyFill="1" applyBorder="1" applyAlignment="1">
      <alignment horizontal="left" vertical="center"/>
    </xf>
    <xf numFmtId="0" fontId="35" fillId="8" borderId="8" xfId="0" applyFont="1" applyFill="1" applyBorder="1" applyAlignment="1">
      <alignment horizontal="left" vertical="center"/>
    </xf>
    <xf numFmtId="0" fontId="35" fillId="0" borderId="0" xfId="0" applyFont="1" applyAlignment="1">
      <alignment horizontal="center" vertical="center" textRotation="90"/>
    </xf>
    <xf numFmtId="0" fontId="35" fillId="13" borderId="0" xfId="0" applyFont="1" applyFill="1" applyAlignment="1">
      <alignment horizontal="left" vertical="center" wrapText="1"/>
    </xf>
    <xf numFmtId="0" fontId="35" fillId="0" borderId="0" xfId="0" applyFont="1"/>
    <xf numFmtId="173" fontId="37" fillId="13" borderId="8" xfId="0" applyNumberFormat="1" applyFont="1" applyFill="1" applyBorder="1" applyAlignment="1">
      <alignment vertical="center"/>
    </xf>
    <xf numFmtId="170" fontId="35" fillId="13" borderId="8" xfId="0" applyNumberFormat="1" applyFont="1" applyFill="1" applyBorder="1" applyAlignment="1">
      <alignment horizontal="center" vertical="center"/>
    </xf>
    <xf numFmtId="171" fontId="35" fillId="13" borderId="8" xfId="2" applyFont="1" applyFill="1" applyBorder="1" applyAlignment="1" applyProtection="1">
      <alignment horizontal="left" vertical="center"/>
      <protection locked="0"/>
    </xf>
    <xf numFmtId="172" fontId="35" fillId="13" borderId="8" xfId="31" applyNumberFormat="1" applyFont="1" applyFill="1" applyBorder="1" applyAlignment="1" applyProtection="1">
      <alignment horizontal="left" vertical="center"/>
      <protection hidden="1"/>
    </xf>
    <xf numFmtId="170" fontId="35" fillId="13" borderId="8" xfId="0" applyNumberFormat="1" applyFont="1" applyFill="1" applyBorder="1" applyAlignment="1" applyProtection="1">
      <alignment horizontal="center" vertical="center"/>
      <protection locked="0"/>
    </xf>
    <xf numFmtId="172" fontId="35" fillId="13" borderId="8" xfId="2" applyNumberFormat="1" applyFont="1" applyFill="1" applyBorder="1" applyAlignment="1" applyProtection="1">
      <alignment horizontal="left" vertical="center"/>
      <protection hidden="1"/>
    </xf>
    <xf numFmtId="0" fontId="39" fillId="0" borderId="0" xfId="0" applyFont="1" applyAlignment="1">
      <alignment vertical="center"/>
    </xf>
    <xf numFmtId="2" fontId="24" fillId="0" borderId="0" xfId="0" applyNumberFormat="1" applyFont="1" applyAlignment="1">
      <alignment horizontal="center" vertical="center"/>
    </xf>
    <xf numFmtId="1" fontId="24" fillId="0" borderId="0" xfId="38" applyNumberFormat="1" applyFont="1" applyAlignment="1">
      <alignment horizontal="center" vertical="center"/>
    </xf>
    <xf numFmtId="0" fontId="24" fillId="0" borderId="0" xfId="0" applyFont="1" applyAlignment="1">
      <alignment horizontal="right" vertical="center"/>
    </xf>
    <xf numFmtId="164" fontId="24" fillId="0" borderId="0" xfId="8" applyFont="1" applyAlignment="1">
      <alignment horizontal="right" vertical="center"/>
    </xf>
    <xf numFmtId="2" fontId="27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horizontal="right" vertical="center"/>
    </xf>
    <xf numFmtId="4" fontId="34" fillId="9" borderId="0" xfId="0" applyNumberFormat="1" applyFont="1" applyFill="1" applyAlignment="1">
      <alignment horizontal="right" vertical="center" wrapText="1"/>
    </xf>
    <xf numFmtId="4" fontId="35" fillId="8" borderId="0" xfId="0" applyNumberFormat="1" applyFont="1" applyFill="1" applyAlignment="1">
      <alignment horizontal="right" vertical="center"/>
    </xf>
    <xf numFmtId="4" fontId="35" fillId="7" borderId="0" xfId="0" applyNumberFormat="1" applyFont="1" applyFill="1" applyAlignment="1">
      <alignment horizontal="right" vertical="center"/>
    </xf>
    <xf numFmtId="0" fontId="35" fillId="11" borderId="0" xfId="0" applyFont="1" applyFill="1" applyAlignment="1">
      <alignment horizontal="center" vertical="center"/>
    </xf>
    <xf numFmtId="0" fontId="35" fillId="11" borderId="0" xfId="0" applyFont="1" applyFill="1" applyAlignment="1">
      <alignment horizontal="left" vertical="center"/>
    </xf>
    <xf numFmtId="0" fontId="35" fillId="11" borderId="0" xfId="0" applyFont="1" applyFill="1" applyAlignment="1">
      <alignment vertical="center"/>
    </xf>
    <xf numFmtId="173" fontId="35" fillId="11" borderId="0" xfId="0" applyNumberFormat="1" applyFont="1" applyFill="1" applyAlignment="1">
      <alignment horizontal="center" vertical="center"/>
    </xf>
    <xf numFmtId="49" fontId="24" fillId="6" borderId="0" xfId="0" applyNumberFormat="1" applyFont="1" applyFill="1" applyAlignment="1">
      <alignment horizontal="center" vertical="center"/>
    </xf>
    <xf numFmtId="49" fontId="24" fillId="0" borderId="0" xfId="0" applyNumberFormat="1" applyFont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/>
    </xf>
    <xf numFmtId="0" fontId="35" fillId="12" borderId="0" xfId="0" applyFont="1" applyFill="1" applyAlignment="1">
      <alignment horizontal="center" vertical="center"/>
    </xf>
    <xf numFmtId="0" fontId="35" fillId="12" borderId="0" xfId="0" applyFont="1" applyFill="1" applyAlignment="1">
      <alignment horizontal="left" vertical="center"/>
    </xf>
    <xf numFmtId="0" fontId="35" fillId="12" borderId="0" xfId="0" applyFont="1" applyFill="1" applyAlignment="1">
      <alignment vertical="center"/>
    </xf>
    <xf numFmtId="0" fontId="35" fillId="12" borderId="0" xfId="0" applyFont="1" applyFill="1" applyAlignment="1">
      <alignment horizontal="right" vertical="center"/>
    </xf>
    <xf numFmtId="173" fontId="35" fillId="12" borderId="0" xfId="0" applyNumberFormat="1" applyFont="1" applyFill="1" applyAlignment="1">
      <alignment horizontal="center" vertical="center"/>
    </xf>
    <xf numFmtId="0" fontId="40" fillId="13" borderId="8" xfId="0" applyFont="1" applyFill="1" applyBorder="1" applyAlignment="1">
      <alignment horizontal="center" vertical="center"/>
    </xf>
    <xf numFmtId="0" fontId="40" fillId="13" borderId="8" xfId="0" applyFont="1" applyFill="1" applyBorder="1" applyAlignment="1">
      <alignment vertical="center"/>
    </xf>
    <xf numFmtId="180" fontId="40" fillId="13" borderId="8" xfId="0" applyNumberFormat="1" applyFont="1" applyFill="1" applyBorder="1" applyAlignment="1">
      <alignment vertical="center"/>
    </xf>
    <xf numFmtId="181" fontId="40" fillId="13" borderId="8" xfId="0" applyNumberFormat="1" applyFont="1" applyFill="1" applyBorder="1" applyAlignment="1">
      <alignment vertical="center"/>
    </xf>
    <xf numFmtId="173" fontId="40" fillId="13" borderId="8" xfId="0" applyNumberFormat="1" applyFont="1" applyFill="1" applyBorder="1" applyAlignment="1">
      <alignment vertical="center"/>
    </xf>
    <xf numFmtId="173" fontId="40" fillId="13" borderId="0" xfId="0" applyNumberFormat="1" applyFont="1" applyFill="1" applyAlignment="1">
      <alignment vertical="center"/>
    </xf>
    <xf numFmtId="0" fontId="35" fillId="0" borderId="17" xfId="30" applyFont="1" applyBorder="1" applyAlignment="1">
      <alignment horizontal="center" vertical="center"/>
    </xf>
    <xf numFmtId="0" fontId="35" fillId="0" borderId="8" xfId="0" applyFont="1" applyBorder="1" applyAlignment="1">
      <alignment horizontal="center" vertical="center"/>
    </xf>
    <xf numFmtId="0" fontId="35" fillId="0" borderId="8" xfId="0" applyFont="1" applyBorder="1" applyAlignment="1">
      <alignment vertical="center"/>
    </xf>
    <xf numFmtId="3" fontId="35" fillId="0" borderId="8" xfId="0" applyNumberFormat="1" applyFont="1" applyBorder="1" applyAlignment="1">
      <alignment vertical="center"/>
    </xf>
    <xf numFmtId="179" fontId="35" fillId="0" borderId="8" xfId="0" applyNumberFormat="1" applyFont="1" applyBorder="1" applyAlignment="1">
      <alignment vertical="center"/>
    </xf>
    <xf numFmtId="1" fontId="35" fillId="0" borderId="8" xfId="0" applyNumberFormat="1" applyFont="1" applyBorder="1" applyAlignment="1">
      <alignment vertical="center"/>
    </xf>
    <xf numFmtId="173" fontId="35" fillId="0" borderId="8" xfId="0" applyNumberFormat="1" applyFont="1" applyBorder="1" applyAlignment="1">
      <alignment vertical="center"/>
    </xf>
    <xf numFmtId="173" fontId="35" fillId="0" borderId="13" xfId="0" applyNumberFormat="1" applyFont="1" applyBorder="1" applyAlignment="1">
      <alignment vertical="center"/>
    </xf>
    <xf numFmtId="173" fontId="0" fillId="0" borderId="8" xfId="0" applyNumberFormat="1" applyBorder="1" applyAlignment="1">
      <alignment vertical="center"/>
    </xf>
    <xf numFmtId="0" fontId="24" fillId="16" borderId="0" xfId="0" applyFont="1" applyFill="1" applyAlignment="1">
      <alignment vertical="center"/>
    </xf>
    <xf numFmtId="0" fontId="24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vertical="center"/>
    </xf>
    <xf numFmtId="0" fontId="24" fillId="0" borderId="0" xfId="0" applyNumberFormat="1" applyFont="1" applyFill="1" applyAlignment="1">
      <alignment vertical="center"/>
    </xf>
    <xf numFmtId="178" fontId="35" fillId="0" borderId="0" xfId="0" applyNumberFormat="1" applyFont="1" applyFill="1" applyAlignment="1">
      <alignment horizontal="center" vertical="center"/>
    </xf>
    <xf numFmtId="0" fontId="4" fillId="0" borderId="0" xfId="42" applyAlignment="1">
      <alignment wrapText="1"/>
    </xf>
    <xf numFmtId="0" fontId="4" fillId="0" borderId="8" xfId="55" applyFont="1" applyBorder="1" applyAlignment="1">
      <alignment horizontal="left" vertical="center" wrapText="1"/>
    </xf>
    <xf numFmtId="49" fontId="45" fillId="0" borderId="8" xfId="55" applyNumberFormat="1" applyFont="1" applyBorder="1" applyAlignment="1" applyProtection="1">
      <alignment horizontal="left" vertical="center" wrapText="1"/>
      <protection hidden="1"/>
    </xf>
    <xf numFmtId="0" fontId="4" fillId="6" borderId="8" xfId="55" applyFont="1" applyFill="1" applyBorder="1" applyAlignment="1">
      <alignment horizontal="left" vertical="center" wrapText="1"/>
    </xf>
    <xf numFmtId="49" fontId="45" fillId="6" borderId="8" xfId="55" applyNumberFormat="1" applyFont="1" applyFill="1" applyBorder="1" applyAlignment="1" applyProtection="1">
      <alignment horizontal="left" vertical="center" wrapText="1"/>
      <protection hidden="1"/>
    </xf>
    <xf numFmtId="0" fontId="4" fillId="0" borderId="0" xfId="42" applyAlignment="1">
      <alignment horizontal="left" vertical="center" wrapText="1"/>
    </xf>
    <xf numFmtId="0" fontId="46" fillId="0" borderId="0" xfId="0" applyFont="1" applyFill="1" applyAlignment="1">
      <alignment horizontal="center" vertical="center"/>
    </xf>
    <xf numFmtId="0" fontId="46" fillId="0" borderId="0" xfId="0" applyFont="1" applyFill="1" applyAlignment="1">
      <alignment vertical="center"/>
    </xf>
    <xf numFmtId="0" fontId="46" fillId="0" borderId="0" xfId="0" applyNumberFormat="1" applyFont="1" applyFill="1" applyAlignment="1">
      <alignment vertical="center"/>
    </xf>
    <xf numFmtId="178" fontId="35" fillId="0" borderId="0" xfId="0" applyNumberFormat="1" applyFont="1" applyFill="1" applyAlignment="1">
      <alignment vertical="center"/>
    </xf>
    <xf numFmtId="49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 wrapText="1"/>
    </xf>
    <xf numFmtId="0" fontId="24" fillId="0" borderId="8" xfId="0" applyFont="1" applyBorder="1" applyAlignment="1">
      <alignment vertical="center"/>
    </xf>
    <xf numFmtId="170" fontId="24" fillId="5" borderId="8" xfId="0" applyNumberFormat="1" applyFont="1" applyFill="1" applyBorder="1" applyAlignment="1">
      <alignment horizontal="center" vertical="center"/>
    </xf>
    <xf numFmtId="0" fontId="24" fillId="0" borderId="8" xfId="0" applyFont="1" applyBorder="1" applyAlignment="1">
      <alignment horizontal="left" vertical="center"/>
    </xf>
    <xf numFmtId="10" fontId="34" fillId="10" borderId="8" xfId="0" applyNumberFormat="1" applyFont="1" applyFill="1" applyBorder="1" applyAlignment="1">
      <alignment horizontal="center" vertical="center" wrapText="1"/>
    </xf>
    <xf numFmtId="182" fontId="24" fillId="0" borderId="8" xfId="0" applyNumberFormat="1" applyFont="1" applyBorder="1" applyAlignment="1">
      <alignment vertical="center"/>
    </xf>
    <xf numFmtId="9" fontId="24" fillId="0" borderId="8" xfId="44" applyFont="1" applyBorder="1" applyAlignment="1">
      <alignment vertical="center"/>
    </xf>
    <xf numFmtId="171" fontId="24" fillId="0" borderId="8" xfId="0" applyNumberFormat="1" applyFont="1" applyBorder="1" applyAlignment="1">
      <alignment vertical="center"/>
    </xf>
    <xf numFmtId="44" fontId="24" fillId="5" borderId="8" xfId="48" applyFont="1" applyFill="1" applyBorder="1" applyAlignment="1">
      <alignment horizontal="center" vertical="center"/>
    </xf>
    <xf numFmtId="170" fontId="24" fillId="0" borderId="8" xfId="44" applyNumberFormat="1" applyFont="1" applyFill="1" applyBorder="1" applyAlignment="1">
      <alignment horizontal="center" vertical="center"/>
    </xf>
    <xf numFmtId="9" fontId="24" fillId="0" borderId="8" xfId="0" applyNumberFormat="1" applyFont="1" applyBorder="1" applyAlignment="1">
      <alignment vertical="center"/>
    </xf>
    <xf numFmtId="170" fontId="24" fillId="0" borderId="8" xfId="0" applyNumberFormat="1" applyFont="1" applyBorder="1" applyAlignment="1">
      <alignment horizontal="center" vertical="center"/>
    </xf>
    <xf numFmtId="0" fontId="33" fillId="10" borderId="8" xfId="0" applyFont="1" applyFill="1" applyBorder="1" applyAlignment="1">
      <alignment vertical="center" wrapText="1"/>
    </xf>
    <xf numFmtId="44" fontId="35" fillId="8" borderId="19" xfId="54" applyFont="1" applyFill="1" applyBorder="1" applyAlignment="1">
      <alignment horizontal="left" vertical="center"/>
    </xf>
    <xf numFmtId="44" fontId="35" fillId="7" borderId="19" xfId="54" applyFont="1" applyFill="1" applyBorder="1" applyAlignment="1">
      <alignment horizontal="left" vertical="center"/>
    </xf>
    <xf numFmtId="44" fontId="35" fillId="8" borderId="19" xfId="0" applyNumberFormat="1" applyFont="1" applyFill="1" applyBorder="1" applyAlignment="1">
      <alignment horizontal="left" vertical="center"/>
    </xf>
    <xf numFmtId="0" fontId="37" fillId="13" borderId="22" xfId="0" applyFont="1" applyFill="1" applyBorder="1" applyAlignment="1">
      <alignment horizontal="left" vertical="center" wrapText="1"/>
    </xf>
    <xf numFmtId="173" fontId="35" fillId="8" borderId="18" xfId="0" applyNumberFormat="1" applyFont="1" applyFill="1" applyBorder="1" applyAlignment="1">
      <alignment horizontal="left" vertical="center" wrapText="1"/>
    </xf>
    <xf numFmtId="44" fontId="35" fillId="7" borderId="18" xfId="54" applyFont="1" applyFill="1" applyBorder="1" applyAlignment="1">
      <alignment horizontal="left" vertical="center" wrapText="1"/>
    </xf>
    <xf numFmtId="44" fontId="35" fillId="8" borderId="18" xfId="54" applyFont="1" applyFill="1" applyBorder="1" applyAlignment="1">
      <alignment horizontal="left" vertical="center" wrapText="1"/>
    </xf>
    <xf numFmtId="0" fontId="24" fillId="0" borderId="8" xfId="0" applyFont="1" applyBorder="1" applyAlignment="1">
      <alignment vertical="center"/>
    </xf>
    <xf numFmtId="168" fontId="24" fillId="6" borderId="0" xfId="19" applyFont="1" applyFill="1" applyAlignment="1">
      <alignment vertical="center"/>
    </xf>
    <xf numFmtId="168" fontId="24" fillId="0" borderId="0" xfId="19" applyFont="1" applyAlignment="1" applyProtection="1">
      <alignment vertical="center"/>
      <protection hidden="1"/>
    </xf>
    <xf numFmtId="44" fontId="24" fillId="6" borderId="0" xfId="54" applyFont="1" applyFill="1" applyAlignment="1">
      <alignment vertical="center"/>
    </xf>
    <xf numFmtId="44" fontId="24" fillId="0" borderId="0" xfId="54" applyFont="1" applyAlignment="1">
      <alignment horizontal="center" vertical="center" wrapText="1"/>
    </xf>
    <xf numFmtId="44" fontId="26" fillId="0" borderId="0" xfId="54" applyFont="1" applyAlignment="1">
      <alignment horizontal="center" vertical="center"/>
    </xf>
    <xf numFmtId="0" fontId="35" fillId="5" borderId="0" xfId="0" applyNumberFormat="1" applyFont="1" applyFill="1" applyAlignment="1">
      <alignment horizontal="center" vertical="center"/>
    </xf>
    <xf numFmtId="0" fontId="24" fillId="0" borderId="18" xfId="30" applyFont="1" applyFill="1" applyBorder="1" applyAlignment="1">
      <alignment vertical="center"/>
    </xf>
    <xf numFmtId="0" fontId="24" fillId="0" borderId="18" xfId="30" applyNumberFormat="1" applyFont="1" applyFill="1" applyBorder="1" applyAlignment="1">
      <alignment vertical="center"/>
    </xf>
    <xf numFmtId="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left" vertical="center"/>
    </xf>
    <xf numFmtId="173" fontId="0" fillId="0" borderId="8" xfId="0" applyNumberFormat="1" applyFont="1" applyBorder="1" applyAlignment="1">
      <alignment vertical="center"/>
    </xf>
    <xf numFmtId="0" fontId="0" fillId="12" borderId="0" xfId="0" applyFill="1"/>
    <xf numFmtId="14" fontId="35" fillId="0" borderId="8" xfId="0" applyNumberFormat="1" applyFont="1" applyBorder="1" applyAlignment="1">
      <alignment vertical="center"/>
    </xf>
    <xf numFmtId="0" fontId="35" fillId="0" borderId="8" xfId="0" applyFont="1" applyBorder="1" applyAlignment="1">
      <alignment vertical="center"/>
    </xf>
    <xf numFmtId="14" fontId="35" fillId="0" borderId="8" xfId="0" applyNumberFormat="1" applyFont="1" applyBorder="1"/>
    <xf numFmtId="0" fontId="35" fillId="0" borderId="8" xfId="0" applyFont="1" applyBorder="1"/>
    <xf numFmtId="0" fontId="35" fillId="0" borderId="8" xfId="0" applyFont="1" applyBorder="1" applyAlignment="1">
      <alignment horizontal="left" vertical="center"/>
    </xf>
    <xf numFmtId="173" fontId="34" fillId="9" borderId="13" xfId="0" applyNumberFormat="1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168" fontId="24" fillId="0" borderId="0" xfId="19" applyFont="1" applyFill="1" applyAlignment="1">
      <alignment horizontal="center" vertical="center" wrapText="1"/>
    </xf>
    <xf numFmtId="44" fontId="24" fillId="0" borderId="0" xfId="54" applyFont="1" applyFill="1" applyAlignment="1">
      <alignment horizontal="center" vertical="center" wrapText="1"/>
    </xf>
    <xf numFmtId="0" fontId="42" fillId="0" borderId="0" xfId="0" applyFont="1" applyFill="1" applyAlignment="1">
      <alignment horizontal="center" vertical="center"/>
    </xf>
    <xf numFmtId="0" fontId="24" fillId="0" borderId="0" xfId="0" applyNumberFormat="1" applyFont="1" applyFill="1" applyAlignment="1">
      <alignment horizontal="center" vertical="center" wrapText="1"/>
    </xf>
    <xf numFmtId="0" fontId="47" fillId="0" borderId="0" xfId="0" applyFont="1" applyFill="1" applyAlignment="1">
      <alignment horizontal="center" vertical="center"/>
    </xf>
    <xf numFmtId="0" fontId="47" fillId="0" borderId="0" xfId="0" applyNumberFormat="1" applyFont="1" applyFill="1" applyAlignment="1">
      <alignment horizontal="center" vertical="center"/>
    </xf>
    <xf numFmtId="0" fontId="47" fillId="0" borderId="0" xfId="0" applyFont="1" applyFill="1" applyAlignment="1">
      <alignment horizontal="left" vertical="center"/>
    </xf>
    <xf numFmtId="177" fontId="47" fillId="0" borderId="0" xfId="0" applyNumberFormat="1" applyFont="1" applyFill="1" applyAlignment="1">
      <alignment horizontal="center" vertical="center"/>
    </xf>
    <xf numFmtId="177" fontId="24" fillId="0" borderId="0" xfId="0" applyNumberFormat="1" applyFont="1" applyFill="1" applyAlignment="1">
      <alignment horizontal="center" vertical="center"/>
    </xf>
    <xf numFmtId="178" fontId="24" fillId="0" borderId="0" xfId="0" applyNumberFormat="1" applyFont="1" applyFill="1" applyAlignment="1">
      <alignment vertical="center"/>
    </xf>
    <xf numFmtId="4" fontId="35" fillId="8" borderId="0" xfId="0" applyNumberFormat="1" applyFont="1" applyFill="1" applyAlignment="1">
      <alignment vertical="center" wrapText="1"/>
    </xf>
    <xf numFmtId="164" fontId="35" fillId="0" borderId="0" xfId="0" applyNumberFormat="1" applyFont="1" applyFill="1" applyAlignment="1">
      <alignment horizontal="center" vertical="center"/>
    </xf>
    <xf numFmtId="0" fontId="35" fillId="0" borderId="0" xfId="0" applyNumberFormat="1" applyFont="1" applyFill="1" applyAlignment="1">
      <alignment horizontal="center" vertical="center"/>
    </xf>
    <xf numFmtId="4" fontId="35" fillId="17" borderId="0" xfId="0" applyNumberFormat="1" applyFont="1" applyFill="1" applyAlignment="1">
      <alignment horizontal="center" vertical="center"/>
    </xf>
    <xf numFmtId="4" fontId="35" fillId="18" borderId="0" xfId="0" applyNumberFormat="1" applyFont="1" applyFill="1" applyAlignment="1">
      <alignment horizontal="center" vertical="center"/>
    </xf>
    <xf numFmtId="0" fontId="35" fillId="0" borderId="0" xfId="0" applyFont="1" applyFill="1" applyAlignment="1">
      <alignment horizontal="center" vertical="center"/>
    </xf>
    <xf numFmtId="0" fontId="35" fillId="0" borderId="0" xfId="0" applyFont="1" applyFill="1" applyAlignment="1">
      <alignment horizontal="left" vertical="center"/>
    </xf>
    <xf numFmtId="4" fontId="35" fillId="0" borderId="0" xfId="0" applyNumberFormat="1" applyFont="1" applyFill="1" applyAlignment="1">
      <alignment vertical="center"/>
    </xf>
    <xf numFmtId="4" fontId="35" fillId="0" borderId="0" xfId="0" applyNumberFormat="1" applyFont="1" applyFill="1" applyAlignment="1">
      <alignment horizontal="center" vertical="center"/>
    </xf>
    <xf numFmtId="173" fontId="35" fillId="0" borderId="0" xfId="0" applyNumberFormat="1" applyFont="1" applyFill="1" applyAlignment="1">
      <alignment horizontal="center" vertical="center"/>
    </xf>
    <xf numFmtId="0" fontId="48" fillId="15" borderId="8" xfId="0" applyFont="1" applyFill="1" applyBorder="1" applyAlignment="1">
      <alignment horizontal="center" vertical="center" wrapText="1"/>
    </xf>
    <xf numFmtId="0" fontId="0" fillId="0" borderId="8" xfId="0" applyBorder="1"/>
    <xf numFmtId="0" fontId="35" fillId="0" borderId="8" xfId="0" applyFont="1" applyBorder="1" applyAlignment="1">
      <alignment horizontal="right" vertical="center"/>
    </xf>
    <xf numFmtId="0" fontId="40" fillId="6" borderId="8" xfId="0" applyFont="1" applyFill="1" applyBorder="1"/>
    <xf numFmtId="168" fontId="35" fillId="0" borderId="8" xfId="20" applyFont="1" applyBorder="1" applyAlignment="1">
      <alignment horizontal="right" vertical="center"/>
    </xf>
    <xf numFmtId="44" fontId="35" fillId="0" borderId="8" xfId="48" applyFont="1" applyBorder="1" applyAlignment="1">
      <alignment horizontal="center" vertical="center"/>
    </xf>
    <xf numFmtId="44" fontId="35" fillId="0" borderId="8" xfId="48" applyFont="1" applyBorder="1" applyAlignment="1">
      <alignment vertical="center"/>
    </xf>
    <xf numFmtId="183" fontId="35" fillId="0" borderId="8" xfId="20" applyNumberFormat="1" applyFont="1" applyBorder="1" applyAlignment="1">
      <alignment vertical="center"/>
    </xf>
    <xf numFmtId="0" fontId="35" fillId="0" borderId="8" xfId="0" applyFont="1" applyBorder="1" applyAlignment="1">
      <alignment horizontal="center"/>
    </xf>
    <xf numFmtId="0" fontId="35" fillId="0" borderId="8" xfId="0" applyFont="1" applyBorder="1" applyAlignment="1">
      <alignment horizontal="left"/>
    </xf>
    <xf numFmtId="44" fontId="35" fillId="0" borderId="8" xfId="48" applyFont="1" applyBorder="1" applyAlignment="1">
      <alignment horizontal="center"/>
    </xf>
    <xf numFmtId="14" fontId="40" fillId="0" borderId="8" xfId="0" applyNumberFormat="1" applyFont="1" applyBorder="1"/>
    <xf numFmtId="184" fontId="35" fillId="0" borderId="8" xfId="0" applyNumberFormat="1" applyFont="1" applyBorder="1" applyAlignment="1">
      <alignment horizontal="center"/>
    </xf>
    <xf numFmtId="0" fontId="48" fillId="15" borderId="8" xfId="0" applyFont="1" applyFill="1" applyBorder="1" applyAlignment="1">
      <alignment horizontal="left" vertical="center" wrapText="1"/>
    </xf>
    <xf numFmtId="4" fontId="35" fillId="0" borderId="0" xfId="0" applyNumberFormat="1" applyFont="1" applyFill="1" applyAlignment="1">
      <alignment vertical="center" wrapText="1"/>
    </xf>
    <xf numFmtId="4" fontId="35" fillId="0" borderId="0" xfId="0" applyNumberFormat="1" applyFont="1" applyFill="1" applyAlignment="1">
      <alignment horizontal="right" vertical="center"/>
    </xf>
    <xf numFmtId="3" fontId="35" fillId="0" borderId="0" xfId="0" applyNumberFormat="1" applyFont="1" applyFill="1" applyAlignment="1">
      <alignment horizontal="center" vertical="center"/>
    </xf>
    <xf numFmtId="0" fontId="35" fillId="0" borderId="0" xfId="0" applyFont="1" applyFill="1" applyAlignment="1">
      <alignment horizontal="left" vertical="center" wrapText="1"/>
    </xf>
    <xf numFmtId="44" fontId="35" fillId="0" borderId="19" xfId="54" applyFont="1" applyFill="1" applyBorder="1" applyAlignment="1">
      <alignment horizontal="left" vertical="center"/>
    </xf>
    <xf numFmtId="0" fontId="24" fillId="0" borderId="23" xfId="30" applyFont="1" applyBorder="1" applyAlignment="1">
      <alignment vertical="center"/>
    </xf>
    <xf numFmtId="0" fontId="24" fillId="6" borderId="23" xfId="30" applyFont="1" applyFill="1" applyBorder="1" applyAlignment="1">
      <alignment vertical="center"/>
    </xf>
    <xf numFmtId="0" fontId="24" fillId="0" borderId="9" xfId="30" applyFont="1" applyBorder="1" applyAlignment="1">
      <alignment vertical="center"/>
    </xf>
    <xf numFmtId="0" fontId="33" fillId="10" borderId="9" xfId="0" applyFont="1" applyFill="1" applyBorder="1" applyAlignment="1">
      <alignment vertical="center" wrapText="1"/>
    </xf>
    <xf numFmtId="0" fontId="51" fillId="0" borderId="0" xfId="0" applyFont="1" applyFill="1" applyAlignment="1">
      <alignment horizontal="left" vertical="center"/>
    </xf>
    <xf numFmtId="0" fontId="51" fillId="0" borderId="0" xfId="0" applyFont="1" applyFill="1" applyAlignment="1">
      <alignment horizontal="center" vertical="center"/>
    </xf>
    <xf numFmtId="4" fontId="51" fillId="0" borderId="0" xfId="0" applyNumberFormat="1" applyFont="1" applyFill="1" applyAlignment="1">
      <alignment vertical="center" wrapText="1"/>
    </xf>
    <xf numFmtId="4" fontId="51" fillId="0" borderId="0" xfId="0" applyNumberFormat="1" applyFont="1" applyFill="1" applyAlignment="1">
      <alignment horizontal="right" vertical="center"/>
    </xf>
    <xf numFmtId="3" fontId="51" fillId="0" borderId="0" xfId="0" applyNumberFormat="1" applyFont="1" applyFill="1" applyAlignment="1">
      <alignment horizontal="center" vertical="center"/>
    </xf>
    <xf numFmtId="4" fontId="51" fillId="0" borderId="0" xfId="0" applyNumberFormat="1" applyFont="1" applyFill="1" applyAlignment="1">
      <alignment horizontal="center" vertical="center"/>
    </xf>
    <xf numFmtId="44" fontId="35" fillId="0" borderId="19" xfId="0" applyNumberFormat="1" applyFont="1" applyFill="1" applyBorder="1" applyAlignment="1">
      <alignment horizontal="left" vertical="center"/>
    </xf>
    <xf numFmtId="0" fontId="35" fillId="0" borderId="0" xfId="0" applyFont="1" applyFill="1" applyAlignment="1">
      <alignment vertical="center" wrapText="1"/>
    </xf>
    <xf numFmtId="0" fontId="35" fillId="0" borderId="0" xfId="0" applyFont="1" applyFill="1" applyAlignment="1">
      <alignment vertical="center"/>
    </xf>
    <xf numFmtId="4" fontId="35" fillId="0" borderId="0" xfId="0" applyNumberFormat="1" applyFont="1" applyFill="1" applyAlignment="1">
      <alignment horizontal="left" vertical="center"/>
    </xf>
    <xf numFmtId="4" fontId="24" fillId="0" borderId="0" xfId="0" applyNumberFormat="1" applyFont="1" applyFill="1" applyAlignment="1">
      <alignment vertical="center" wrapText="1"/>
    </xf>
    <xf numFmtId="0" fontId="45" fillId="0" borderId="8" xfId="55" applyFont="1" applyBorder="1" applyAlignment="1">
      <alignment horizontal="left" vertical="center" wrapText="1"/>
    </xf>
    <xf numFmtId="0" fontId="50" fillId="0" borderId="8" xfId="55" applyFont="1" applyBorder="1" applyAlignment="1">
      <alignment horizontal="left" vertical="center" wrapText="1"/>
    </xf>
    <xf numFmtId="0" fontId="26" fillId="0" borderId="8" xfId="30" applyFont="1" applyBorder="1" applyAlignment="1">
      <alignment horizontal="center" vertical="center" wrapText="1"/>
    </xf>
    <xf numFmtId="0" fontId="4" fillId="0" borderId="24" xfId="55" applyFont="1" applyBorder="1" applyAlignment="1">
      <alignment horizontal="left" vertical="center" wrapText="1"/>
    </xf>
    <xf numFmtId="0" fontId="4" fillId="0" borderId="9" xfId="55" applyFont="1" applyBorder="1" applyAlignment="1">
      <alignment horizontal="left" vertical="center" wrapText="1"/>
    </xf>
    <xf numFmtId="0" fontId="4" fillId="0" borderId="24" xfId="55" applyFont="1" applyBorder="1" applyAlignment="1">
      <alignment horizontal="center" vertical="center" wrapText="1"/>
    </xf>
    <xf numFmtId="0" fontId="4" fillId="0" borderId="9" xfId="55" applyFont="1" applyBorder="1" applyAlignment="1">
      <alignment horizontal="center" vertical="center" wrapText="1"/>
    </xf>
    <xf numFmtId="0" fontId="33" fillId="10" borderId="6" xfId="0" applyFont="1" applyFill="1" applyBorder="1" applyAlignment="1">
      <alignment horizontal="center" vertical="center" wrapText="1"/>
    </xf>
    <xf numFmtId="0" fontId="33" fillId="10" borderId="4" xfId="0" applyFont="1" applyFill="1" applyBorder="1" applyAlignment="1">
      <alignment horizontal="center" vertical="center" wrapText="1"/>
    </xf>
    <xf numFmtId="0" fontId="33" fillId="10" borderId="13" xfId="0" applyFont="1" applyFill="1" applyBorder="1" applyAlignment="1">
      <alignment horizontal="center" vertical="center" wrapText="1"/>
    </xf>
    <xf numFmtId="0" fontId="49" fillId="10" borderId="7" xfId="30" applyFont="1" applyFill="1" applyBorder="1" applyAlignment="1">
      <alignment horizontal="center" vertical="center" wrapText="1"/>
    </xf>
    <xf numFmtId="0" fontId="49" fillId="10" borderId="10" xfId="30" applyFont="1" applyFill="1" applyBorder="1" applyAlignment="1">
      <alignment horizontal="center" vertical="center" wrapText="1"/>
    </xf>
    <xf numFmtId="0" fontId="32" fillId="0" borderId="0" xfId="30" applyFont="1" applyAlignment="1">
      <alignment horizontal="center" vertical="center"/>
    </xf>
    <xf numFmtId="0" fontId="37" fillId="13" borderId="8" xfId="0" applyFont="1" applyFill="1" applyBorder="1" applyAlignment="1">
      <alignment horizontal="center" vertical="center"/>
    </xf>
    <xf numFmtId="170" fontId="24" fillId="5" borderId="8" xfId="0" applyNumberFormat="1" applyFont="1" applyFill="1" applyBorder="1" applyAlignment="1">
      <alignment horizontal="center" vertical="center"/>
    </xf>
    <xf numFmtId="0" fontId="33" fillId="10" borderId="6" xfId="0" applyFont="1" applyFill="1" applyBorder="1" applyAlignment="1">
      <alignment horizontal="left" vertical="center" wrapText="1"/>
    </xf>
    <xf numFmtId="0" fontId="33" fillId="10" borderId="13" xfId="0" applyFont="1" applyFill="1" applyBorder="1" applyAlignment="1">
      <alignment horizontal="left" vertical="center" wrapText="1"/>
    </xf>
    <xf numFmtId="0" fontId="33" fillId="10" borderId="4" xfId="0" applyFont="1" applyFill="1" applyBorder="1" applyAlignment="1">
      <alignment horizontal="left" vertical="center" wrapText="1"/>
    </xf>
    <xf numFmtId="0" fontId="24" fillId="0" borderId="8" xfId="0" applyFont="1" applyBorder="1" applyAlignment="1">
      <alignment horizontal="left" vertical="center"/>
    </xf>
    <xf numFmtId="0" fontId="24" fillId="0" borderId="8" xfId="0" applyFont="1" applyBorder="1" applyAlignment="1">
      <alignment vertical="center"/>
    </xf>
    <xf numFmtId="9" fontId="24" fillId="0" borderId="6" xfId="0" applyNumberFormat="1" applyFont="1" applyBorder="1" applyAlignment="1">
      <alignment horizontal="left" vertical="center" wrapText="1"/>
    </xf>
    <xf numFmtId="9" fontId="24" fillId="0" borderId="13" xfId="0" applyNumberFormat="1" applyFont="1" applyBorder="1" applyAlignment="1">
      <alignment horizontal="left" vertical="center" wrapText="1"/>
    </xf>
    <xf numFmtId="9" fontId="24" fillId="0" borderId="6" xfId="0" applyNumberFormat="1" applyFont="1" applyBorder="1" applyAlignment="1">
      <alignment horizontal="left" vertical="center"/>
    </xf>
    <xf numFmtId="9" fontId="24" fillId="0" borderId="4" xfId="0" applyNumberFormat="1" applyFont="1" applyBorder="1" applyAlignment="1">
      <alignment horizontal="left" vertical="center"/>
    </xf>
    <xf numFmtId="9" fontId="24" fillId="0" borderId="13" xfId="0" applyNumberFormat="1" applyFont="1" applyBorder="1" applyAlignment="1">
      <alignment horizontal="left" vertical="center"/>
    </xf>
    <xf numFmtId="0" fontId="24" fillId="0" borderId="6" xfId="0" applyFont="1" applyBorder="1" applyAlignment="1">
      <alignment horizontal="left" vertical="center"/>
    </xf>
    <xf numFmtId="0" fontId="24" fillId="0" borderId="13" xfId="0" applyFont="1" applyBorder="1" applyAlignment="1">
      <alignment horizontal="left" vertical="center"/>
    </xf>
    <xf numFmtId="0" fontId="26" fillId="0" borderId="8" xfId="30" applyFont="1" applyBorder="1" applyAlignment="1">
      <alignment horizontal="center" vertical="center"/>
    </xf>
    <xf numFmtId="0" fontId="33" fillId="10" borderId="11" xfId="0" applyFont="1" applyFill="1" applyBorder="1" applyAlignment="1">
      <alignment horizontal="center" vertical="center" wrapText="1"/>
    </xf>
    <xf numFmtId="0" fontId="33" fillId="10" borderId="12" xfId="0" applyFont="1" applyFill="1" applyBorder="1" applyAlignment="1">
      <alignment horizontal="center" vertical="center" wrapText="1"/>
    </xf>
    <xf numFmtId="0" fontId="33" fillId="10" borderId="9" xfId="0" applyFont="1" applyFill="1" applyBorder="1" applyAlignment="1">
      <alignment horizontal="center" vertical="center" wrapText="1"/>
    </xf>
    <xf numFmtId="0" fontId="37" fillId="13" borderId="6" xfId="0" applyFont="1" applyFill="1" applyBorder="1" applyAlignment="1">
      <alignment horizontal="left" vertical="center"/>
    </xf>
    <xf numFmtId="0" fontId="37" fillId="13" borderId="4" xfId="0" applyFont="1" applyFill="1" applyBorder="1" applyAlignment="1">
      <alignment horizontal="left" vertical="center"/>
    </xf>
    <xf numFmtId="0" fontId="37" fillId="13" borderId="13" xfId="0" applyFont="1" applyFill="1" applyBorder="1" applyAlignment="1">
      <alignment horizontal="left" vertical="center"/>
    </xf>
    <xf numFmtId="0" fontId="24" fillId="0" borderId="4" xfId="0" applyFont="1" applyBorder="1" applyAlignment="1">
      <alignment horizontal="left" vertical="center"/>
    </xf>
    <xf numFmtId="10" fontId="24" fillId="5" borderId="6" xfId="0" applyNumberFormat="1" applyFont="1" applyFill="1" applyBorder="1" applyAlignment="1">
      <alignment horizontal="left" vertical="center"/>
    </xf>
    <xf numFmtId="10" fontId="24" fillId="5" borderId="4" xfId="0" applyNumberFormat="1" applyFont="1" applyFill="1" applyBorder="1" applyAlignment="1">
      <alignment horizontal="left" vertical="center"/>
    </xf>
    <xf numFmtId="10" fontId="24" fillId="5" borderId="13" xfId="0" applyNumberFormat="1" applyFont="1" applyFill="1" applyBorder="1" applyAlignment="1">
      <alignment horizontal="left" vertical="center"/>
    </xf>
    <xf numFmtId="170" fontId="26" fillId="5" borderId="6" xfId="0" applyNumberFormat="1" applyFont="1" applyFill="1" applyBorder="1" applyAlignment="1">
      <alignment horizontal="center" vertical="center"/>
    </xf>
    <xf numFmtId="170" fontId="24" fillId="5" borderId="4" xfId="0" applyNumberFormat="1" applyFont="1" applyFill="1" applyBorder="1" applyAlignment="1">
      <alignment horizontal="center" vertical="center"/>
    </xf>
    <xf numFmtId="0" fontId="32" fillId="0" borderId="5" xfId="30" applyFont="1" applyBorder="1" applyAlignment="1">
      <alignment horizontal="center" vertical="center"/>
    </xf>
    <xf numFmtId="0" fontId="32" fillId="0" borderId="0" xfId="30" applyFont="1" applyAlignment="1">
      <alignment horizontal="left" vertical="center"/>
    </xf>
    <xf numFmtId="0" fontId="26" fillId="13" borderId="6" xfId="0" applyFont="1" applyFill="1" applyBorder="1" applyAlignment="1">
      <alignment horizontal="center" vertical="center"/>
    </xf>
    <xf numFmtId="0" fontId="26" fillId="13" borderId="4" xfId="0" applyFont="1" applyFill="1" applyBorder="1" applyAlignment="1">
      <alignment horizontal="center" vertical="center"/>
    </xf>
    <xf numFmtId="0" fontId="26" fillId="13" borderId="13" xfId="0" applyFont="1" applyFill="1" applyBorder="1" applyAlignment="1">
      <alignment horizontal="center" vertical="center"/>
    </xf>
    <xf numFmtId="0" fontId="26" fillId="14" borderId="7" xfId="0" applyFont="1" applyFill="1" applyBorder="1" applyAlignment="1">
      <alignment horizontal="center" vertical="center"/>
    </xf>
    <xf numFmtId="0" fontId="26" fillId="14" borderId="20" xfId="0" applyFont="1" applyFill="1" applyBorder="1" applyAlignment="1">
      <alignment horizontal="center" vertical="center"/>
    </xf>
    <xf numFmtId="0" fontId="26" fillId="14" borderId="21" xfId="0" applyFont="1" applyFill="1" applyBorder="1" applyAlignment="1">
      <alignment horizontal="center" vertical="center"/>
    </xf>
    <xf numFmtId="0" fontId="26" fillId="13" borderId="7" xfId="0" applyFont="1" applyFill="1" applyBorder="1" applyAlignment="1">
      <alignment horizontal="center" vertical="center"/>
    </xf>
    <xf numFmtId="0" fontId="26" fillId="13" borderId="20" xfId="0" applyFont="1" applyFill="1" applyBorder="1" applyAlignment="1">
      <alignment horizontal="center" vertical="center"/>
    </xf>
    <xf numFmtId="0" fontId="26" fillId="13" borderId="21" xfId="0" applyFont="1" applyFill="1" applyBorder="1" applyAlignment="1">
      <alignment horizontal="center" vertical="center"/>
    </xf>
    <xf numFmtId="170" fontId="26" fillId="5" borderId="8" xfId="0" applyNumberFormat="1" applyFont="1" applyFill="1" applyBorder="1" applyAlignment="1">
      <alignment horizontal="center" vertical="center"/>
    </xf>
    <xf numFmtId="4" fontId="24" fillId="0" borderId="8" xfId="0" applyNumberFormat="1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 textRotation="90"/>
    </xf>
    <xf numFmtId="0" fontId="24" fillId="0" borderId="10" xfId="0" applyFont="1" applyBorder="1" applyAlignment="1">
      <alignment horizontal="center" vertical="center" textRotation="90"/>
    </xf>
    <xf numFmtId="0" fontId="24" fillId="0" borderId="11" xfId="0" applyFont="1" applyBorder="1" applyAlignment="1">
      <alignment horizontal="center" vertical="center" textRotation="90"/>
    </xf>
    <xf numFmtId="0" fontId="32" fillId="0" borderId="0" xfId="30" applyFont="1" applyBorder="1" applyAlignment="1">
      <alignment horizontal="center" vertical="center"/>
    </xf>
    <xf numFmtId="170" fontId="24" fillId="5" borderId="6" xfId="0" applyNumberFormat="1" applyFont="1" applyFill="1" applyBorder="1" applyAlignment="1">
      <alignment horizontal="center" vertical="center"/>
    </xf>
    <xf numFmtId="170" fontId="24" fillId="5" borderId="13" xfId="0" applyNumberFormat="1" applyFont="1" applyFill="1" applyBorder="1" applyAlignment="1">
      <alignment horizontal="center" vertical="center"/>
    </xf>
    <xf numFmtId="0" fontId="24" fillId="0" borderId="7" xfId="0" applyFont="1" applyBorder="1" applyAlignment="1">
      <alignment horizontal="center" vertical="center" textRotation="90" wrapText="1"/>
    </xf>
    <xf numFmtId="0" fontId="24" fillId="0" borderId="10" xfId="0" applyFont="1" applyBorder="1" applyAlignment="1">
      <alignment horizontal="center" vertical="center" textRotation="90" wrapText="1"/>
    </xf>
    <xf numFmtId="0" fontId="24" fillId="0" borderId="11" xfId="0" applyFont="1" applyBorder="1" applyAlignment="1">
      <alignment horizontal="center" vertical="center" textRotation="90" wrapText="1"/>
    </xf>
    <xf numFmtId="0" fontId="24" fillId="8" borderId="6" xfId="0" applyFont="1" applyFill="1" applyBorder="1" applyAlignment="1">
      <alignment horizontal="center" vertical="center"/>
    </xf>
    <xf numFmtId="0" fontId="24" fillId="8" borderId="4" xfId="0" applyFont="1" applyFill="1" applyBorder="1" applyAlignment="1">
      <alignment horizontal="center" vertical="center"/>
    </xf>
    <xf numFmtId="0" fontId="24" fillId="8" borderId="13" xfId="0" applyFont="1" applyFill="1" applyBorder="1" applyAlignment="1">
      <alignment horizontal="center" vertical="center"/>
    </xf>
    <xf numFmtId="2" fontId="33" fillId="10" borderId="6" xfId="0" applyNumberFormat="1" applyFont="1" applyFill="1" applyBorder="1" applyAlignment="1">
      <alignment horizontal="left" vertical="center"/>
    </xf>
    <xf numFmtId="2" fontId="33" fillId="10" borderId="4" xfId="0" applyNumberFormat="1" applyFont="1" applyFill="1" applyBorder="1" applyAlignment="1">
      <alignment horizontal="left" vertical="center"/>
    </xf>
    <xf numFmtId="49" fontId="33" fillId="10" borderId="4" xfId="29" applyNumberFormat="1" applyFont="1" applyFill="1" applyBorder="1" applyAlignment="1">
      <alignment horizontal="left" vertical="center"/>
    </xf>
    <xf numFmtId="49" fontId="33" fillId="10" borderId="13" xfId="29" applyNumberFormat="1" applyFont="1" applyFill="1" applyBorder="1" applyAlignment="1">
      <alignment horizontal="left" vertical="center"/>
    </xf>
    <xf numFmtId="49" fontId="24" fillId="7" borderId="6" xfId="0" applyNumberFormat="1" applyFont="1" applyFill="1" applyBorder="1" applyAlignment="1">
      <alignment horizontal="center" vertical="center"/>
    </xf>
    <xf numFmtId="49" fontId="24" fillId="7" borderId="13" xfId="0" applyNumberFormat="1" applyFont="1" applyFill="1" applyBorder="1" applyAlignment="1">
      <alignment horizontal="center" vertical="center"/>
    </xf>
    <xf numFmtId="49" fontId="24" fillId="8" borderId="6" xfId="0" applyNumberFormat="1" applyFont="1" applyFill="1" applyBorder="1" applyAlignment="1">
      <alignment horizontal="center" vertical="center"/>
    </xf>
    <xf numFmtId="49" fontId="24" fillId="8" borderId="13" xfId="0" applyNumberFormat="1" applyFont="1" applyFill="1" applyBorder="1" applyAlignment="1">
      <alignment horizontal="center" vertical="center"/>
    </xf>
    <xf numFmtId="49" fontId="24" fillId="7" borderId="4" xfId="0" applyNumberFormat="1" applyFont="1" applyFill="1" applyBorder="1" applyAlignment="1">
      <alignment horizontal="center" vertical="center"/>
    </xf>
    <xf numFmtId="49" fontId="24" fillId="8" borderId="4" xfId="0" applyNumberFormat="1" applyFont="1" applyFill="1" applyBorder="1" applyAlignment="1">
      <alignment horizontal="center" vertical="center"/>
    </xf>
  </cellXfs>
  <cellStyles count="58">
    <cellStyle name="%" xfId="1" xr:uid="{00000000-0005-0000-0000-000000000000}"/>
    <cellStyle name="% 2" xfId="39" xr:uid="{00000000-0005-0000-0000-000001000000}"/>
    <cellStyle name="Euro" xfId="2" xr:uid="{00000000-0005-0000-0000-000002000000}"/>
    <cellStyle name="Euro 10" xfId="3" xr:uid="{00000000-0005-0000-0000-000003000000}"/>
    <cellStyle name="Euro 11" xfId="4" xr:uid="{00000000-0005-0000-0000-000004000000}"/>
    <cellStyle name="Euro 12" xfId="5" xr:uid="{00000000-0005-0000-0000-000005000000}"/>
    <cellStyle name="Euro 13" xfId="6" xr:uid="{00000000-0005-0000-0000-000006000000}"/>
    <cellStyle name="Euro 14" xfId="7" xr:uid="{00000000-0005-0000-0000-000007000000}"/>
    <cellStyle name="Euro 15" xfId="8" xr:uid="{00000000-0005-0000-0000-000008000000}"/>
    <cellStyle name="Euro 15 2" xfId="40" xr:uid="{00000000-0005-0000-0000-000009000000}"/>
    <cellStyle name="Euro 2" xfId="9" xr:uid="{00000000-0005-0000-0000-00000A000000}"/>
    <cellStyle name="Euro 3" xfId="10" xr:uid="{00000000-0005-0000-0000-00000B000000}"/>
    <cellStyle name="Euro 4" xfId="11" xr:uid="{00000000-0005-0000-0000-00000C000000}"/>
    <cellStyle name="Euro 5" xfId="12" xr:uid="{00000000-0005-0000-0000-00000D000000}"/>
    <cellStyle name="Euro 6" xfId="13" xr:uid="{00000000-0005-0000-0000-00000E000000}"/>
    <cellStyle name="Euro 7" xfId="14" xr:uid="{00000000-0005-0000-0000-00000F000000}"/>
    <cellStyle name="Euro 8" xfId="15" xr:uid="{00000000-0005-0000-0000-000010000000}"/>
    <cellStyle name="Euro 9" xfId="16" xr:uid="{00000000-0005-0000-0000-000011000000}"/>
    <cellStyle name="Euro_1.5 Ruimtestaten SRO N2" xfId="17" xr:uid="{00000000-0005-0000-0000-000012000000}"/>
    <cellStyle name="Followed Hyperlink_Adres-Gymzalen.xls" xfId="18" xr:uid="{00000000-0005-0000-0000-000013000000}"/>
    <cellStyle name="Komma" xfId="19" builtinId="3"/>
    <cellStyle name="Komma 2" xfId="20" xr:uid="{00000000-0005-0000-0000-000015000000}"/>
    <cellStyle name="Komma 3" xfId="37" xr:uid="{00000000-0005-0000-0000-000016000000}"/>
    <cellStyle name="Komma 4" xfId="56" xr:uid="{919DEB51-BFC8-47F3-8C42-1E0AE3D3F518}"/>
    <cellStyle name="Koppen_rekenblad" xfId="21" xr:uid="{00000000-0005-0000-0000-000017000000}"/>
    <cellStyle name="koppenrekenblad2" xfId="22" xr:uid="{00000000-0005-0000-0000-000018000000}"/>
    <cellStyle name="koppenrekenblad2 2" xfId="41" xr:uid="{00000000-0005-0000-0000-000019000000}"/>
    <cellStyle name="m2" xfId="23" xr:uid="{00000000-0005-0000-0000-00001A000000}"/>
    <cellStyle name="NIBa standaard" xfId="24" xr:uid="{00000000-0005-0000-0000-00001B000000}"/>
    <cellStyle name="Ongedefinieerd" xfId="25" xr:uid="{00000000-0005-0000-0000-00001C000000}"/>
    <cellStyle name="prijslijst" xfId="26" xr:uid="{00000000-0005-0000-0000-00001D000000}"/>
    <cellStyle name="Procent" xfId="38" builtinId="5"/>
    <cellStyle name="Procent 2" xfId="35" xr:uid="{00000000-0005-0000-0000-00001F000000}"/>
    <cellStyle name="Procent 3" xfId="44" xr:uid="{00000000-0005-0000-0000-000020000000}"/>
    <cellStyle name="Ruimtestaat_Koppen" xfId="27" xr:uid="{00000000-0005-0000-0000-000021000000}"/>
    <cellStyle name="Standaard" xfId="0" builtinId="0"/>
    <cellStyle name="Standaard 2" xfId="28" xr:uid="{00000000-0005-0000-0000-000023000000}"/>
    <cellStyle name="Standaard 2 2" xfId="42" xr:uid="{00000000-0005-0000-0000-000024000000}"/>
    <cellStyle name="Standaard 3" xfId="29" xr:uid="{00000000-0005-0000-0000-000025000000}"/>
    <cellStyle name="Standaard 3 2" xfId="43" xr:uid="{00000000-0005-0000-0000-000026000000}"/>
    <cellStyle name="Standaard 3 2 2" xfId="51" xr:uid="{00000000-0005-0000-0000-000027000000}"/>
    <cellStyle name="Standaard 3 2 3" xfId="47" xr:uid="{00000000-0005-0000-0000-000028000000}"/>
    <cellStyle name="Standaard 3 3" xfId="49" xr:uid="{00000000-0005-0000-0000-000029000000}"/>
    <cellStyle name="Standaard 3 3 2" xfId="52" xr:uid="{00000000-0005-0000-0000-00002A000000}"/>
    <cellStyle name="Standaard 3 4" xfId="50" xr:uid="{00000000-0005-0000-0000-00002B000000}"/>
    <cellStyle name="Standaard 3 5" xfId="45" xr:uid="{00000000-0005-0000-0000-00002C000000}"/>
    <cellStyle name="Standaard 3 6" xfId="53" xr:uid="{00000000-0005-0000-0000-00002D000000}"/>
    <cellStyle name="Standaard 4" xfId="30" xr:uid="{00000000-0005-0000-0000-00002E000000}"/>
    <cellStyle name="Standaard 5" xfId="34" xr:uid="{00000000-0005-0000-0000-00002F000000}"/>
    <cellStyle name="Standaard 6" xfId="55" xr:uid="{E455430A-9DF4-46E1-A18E-520926441726}"/>
    <cellStyle name="Valuta" xfId="54" builtinId="4"/>
    <cellStyle name="Valuta 2" xfId="31" xr:uid="{00000000-0005-0000-0000-000031000000}"/>
    <cellStyle name="Valuta 3" xfId="36" xr:uid="{00000000-0005-0000-0000-000032000000}"/>
    <cellStyle name="Valuta 4" xfId="48" xr:uid="{00000000-0005-0000-0000-000033000000}"/>
    <cellStyle name="Valuta 5" xfId="46" xr:uid="{00000000-0005-0000-0000-000034000000}"/>
    <cellStyle name="Valuta 6" xfId="57" xr:uid="{2F6036FC-E1D4-4DD3-A240-4ECECFEECB7D}"/>
    <cellStyle name="Währung [0]_Aufmaß" xfId="32" xr:uid="{00000000-0005-0000-0000-000035000000}"/>
    <cellStyle name="Währung_Aufmaß" xfId="33" xr:uid="{00000000-0005-0000-0000-000036000000}"/>
  </cellStyles>
  <dxfs count="199">
    <dxf>
      <fill>
        <patternFill patternType="solid">
          <fgColor theme="4" tint="0.59999389629810485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73" formatCode="_ [$€-413]\ * #,##0.00_ ;_ [$€-413]\ * \-#,##0.00_ ;_ [$€-413]\ * &quot;-&quot;??_ ;_ @_ 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9"/>
        <color theme="1"/>
        <name val="Verdana"/>
        <scheme val="none"/>
      </font>
      <numFmt numFmtId="0" formatCode="General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  <alignment vertical="center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80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81" formatCode="#,##0.0_ ;\-#,##0.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9" formatCode="#,##0.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80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80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  <alignment vertical="center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indexed="1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theme="4" tint="0.59999389629810485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numFmt numFmtId="4" formatCode="#,##0.0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solid">
          <fgColor theme="4" tint="0.59999389629810485"/>
          <bgColor theme="4" tint="0.5999938962981048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4" formatCode="#,##0.00"/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theme="4" tint="0.59999389629810485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numFmt numFmtId="4" formatCode="#,##0.0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4" formatCode="#,##0.00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sz val="9"/>
        <color theme="1"/>
        <name val="Verdana"/>
        <family val="2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theme="4" tint="0.79998168889431442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numFmt numFmtId="4" formatCode="#,##0.0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9" formatCode="0.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9" formatCode="0.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9" formatCode="0.0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8" formatCode="0.00\ &quot;m²&quot;"/>
      <fill>
        <patternFill patternType="none">
          <fgColor indexed="64"/>
          <bgColor auto="1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78" formatCode="0.00\ &quot;m²&quot;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bottom" textRotation="0" wrapTex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9"/>
        <color auto="1"/>
        <name val="Verdana"/>
        <scheme val="none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bottom" textRotation="0" wrapTex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2" formatCode="0.00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E096B"/>
      <color rgb="FF346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Gegevens\Excel\Calc\AZR\AZR%20psychiatri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Voor..van\meten%20glas\meten%20glas\meten%20glas\meten%20glas\meten%20glas\meten%20glas\meten%20glas\meten%20glas\ati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gevens\Excel\Calc\AZR\AZR%20psychiatri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3 (3)"/>
      <sheetName val="Blad3 (2)"/>
      <sheetName val="Blad1"/>
      <sheetName val="Blad2"/>
      <sheetName val="Blad3"/>
      <sheetName val="Blad4"/>
      <sheetName val="Psychiatrie"/>
      <sheetName val="Uitgangspunten"/>
      <sheetName val="Nummers"/>
      <sheetName val="Menu"/>
      <sheetName val="Tijdnormen"/>
      <sheetName val="Frekwenties"/>
      <sheetName val="Vloeren"/>
      <sheetName val="Blad3_(3)"/>
      <sheetName val="Blad3_(2)"/>
      <sheetName val="hiddenSheet"/>
      <sheetName val="dv_info"/>
      <sheetName val="Kalender"/>
      <sheetName val="AZR psychiatrie"/>
      <sheetName val="Normen"/>
      <sheetName val="Kalender (2)"/>
      <sheetName val="Opzoeklijst"/>
      <sheetName val="01.255"/>
      <sheetName val="02.255"/>
      <sheetName val="04.255"/>
      <sheetName val="Voorblad"/>
      <sheetName val="1.0a-Contractblad Prodruimten"/>
      <sheetName val="1.0d-Contractblad Algemeen"/>
      <sheetName val="1.1-Jaarprijzen"/>
      <sheetName val="1.5 Opbouw uurtarieven"/>
      <sheetName val="1.1a-Inzet uren per lijn"/>
      <sheetName val="1.1a-Overzicht uren-prijzen"/>
      <sheetName val="1.2-Tijdseenheid Productie"/>
      <sheetName val="MAXIMO VERSU CONTRACT"/>
      <sheetName val="1.3a-Low Care"/>
      <sheetName val="1.3f-Mutaties"/>
      <sheetName val="13g-Mutaties oud"/>
      <sheetName val="1.3c-Plafond en wanden"/>
      <sheetName val="1.3d Vloeronderhoud door ED"/>
      <sheetName val="1.6-Machine-investeringskosten"/>
      <sheetName val="EtagesLijst"/>
      <sheetName val="Werkprogrammas"/>
      <sheetName val="_BuildingSectionListExport"/>
      <sheetName val="_DepartmentListExport"/>
      <sheetName val="_BuildingListExport"/>
      <sheetName val="_LocationListExport"/>
      <sheetName val="_ProgramListExport"/>
      <sheetName val="_SpaceTypeListExport"/>
      <sheetName val="_FloorTypeListExp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ir.xls"/>
      <sheetName val="#REF"/>
      <sheetName val="atir_xls"/>
      <sheetName val="3-Basis_ruimtestaat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3 (3)"/>
      <sheetName val="Blad3 (2)"/>
      <sheetName val="Blad1"/>
      <sheetName val="Blad2"/>
      <sheetName val="Blad3"/>
      <sheetName val="Blad4"/>
      <sheetName val="Psychiatrie"/>
      <sheetName val="Nummers"/>
      <sheetName val="Menu"/>
      <sheetName val="Tijdnormen"/>
      <sheetName val="Frekwenties"/>
      <sheetName val="Vloeren"/>
      <sheetName val="Uitgangspunten"/>
      <sheetName val="Blad3_(3)"/>
      <sheetName val="Blad3_(2)"/>
      <sheetName val="hiddenSheet"/>
      <sheetName val="dv_info"/>
      <sheetName val="Kalender"/>
      <sheetName val="EtagesLijst"/>
      <sheetName val="Werkprogrammas"/>
      <sheetName val="_BuildingSectionListExport"/>
      <sheetName val="_DepartmentListExport"/>
      <sheetName val="_BuildingListExport"/>
      <sheetName val="_LocationListExport"/>
      <sheetName val="_ProgramListExport"/>
      <sheetName val="_SpaceTypeListExport"/>
      <sheetName val="_FloorTypeListExp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Ruimtegroepen" displayName="Ruimtegroepen" ref="A16:D36" totalsRowShown="0" headerRowDxfId="197" dataDxfId="196" headerRowCellStyle="Standaard 4">
  <autoFilter ref="A16:D36" xr:uid="{00000000-0009-0000-0100-000006000000}"/>
  <tableColumns count="4">
    <tableColumn id="1" xr3:uid="{00000000-0010-0000-0000-000001000000}" name="Code" dataDxfId="195" dataCellStyle="Standaard 4"/>
    <tableColumn id="2" xr3:uid="{00000000-0010-0000-0000-000002000000}" name="Ruimte omschrijving" dataDxfId="194" dataCellStyle="Standaard 4"/>
    <tableColumn id="3" xr3:uid="{00000000-0010-0000-0000-000003000000}" name="Norm (5w)" dataDxfId="193"/>
    <tableColumn id="4" xr3:uid="{00000000-0010-0000-0000-000004000000}" name="Inspectiecategorie" dataDxfId="192"/>
  </tableColumns>
  <tableStyleInfo name="TableStyleMedium9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BC0482E-F26F-4E76-9E3A-E05E71A06179}" name="InvulExtraW" displayName="InvulExtraW" ref="A8:I25" totalsRowShown="0" headerRowDxfId="79">
  <autoFilter ref="A8:I25" xr:uid="{F2CA02ED-13B0-42F6-8004-9841D0F680C0}"/>
  <tableColumns count="9">
    <tableColumn id="1" xr3:uid="{18C412BF-086B-4678-8C0E-F6DDE47A80BA}" name="Code Taak" dataDxfId="78"/>
    <tableColumn id="2" xr3:uid="{DCA0F1DC-D621-4E81-9E06-2C4F6D8042AF}" name="Werkzaamheden" dataDxfId="77"/>
    <tableColumn id="3" xr3:uid="{A1AA7311-369E-4885-B13A-C2264911098C}" name="Prijs" dataDxfId="76"/>
    <tableColumn id="4" xr3:uid="{5DD2B3C2-98C4-4667-B2C4-82ACFADD5B3F}" name="Omschrijving" dataDxfId="75"/>
    <tableColumn id="5" xr3:uid="{49F531FB-7F5F-4E9D-81E2-ECFB6444DA38}" name="2023" dataDxfId="74" dataCellStyle="Valuta">
      <calculatedColumnFormula>(InvulExtraW[[#This Row],[Prijs]]*Tariefsopbouw!$I$37)+InvulExtraW[[#This Row],[Prijs]]</calculatedColumnFormula>
    </tableColumn>
    <tableColumn id="6" xr3:uid="{6949B050-F062-4CFA-83DB-D128D5EE3016}" name="2024" dataDxfId="73" dataCellStyle="Valuta">
      <calculatedColumnFormula>E9*Tariefsopbouw!$K$37+E9</calculatedColumnFormula>
    </tableColumn>
    <tableColumn id="7" xr3:uid="{17CDA1B8-E085-4A97-98D4-78C167866496}" name="2025" dataDxfId="72" dataCellStyle="Valuta">
      <calculatedColumnFormula>F9*Tariefsopbouw!$M$37+F9</calculatedColumnFormula>
    </tableColumn>
    <tableColumn id="8" xr3:uid="{1C53D0AC-CDB5-4E35-BBAE-782B9C77C2D0}" name="2026" dataDxfId="71" dataCellStyle="Valuta">
      <calculatedColumnFormula>G9*Tariefsopbouw!$O$37+InvulExtraW[[#This Row],[2025]]</calculatedColumnFormula>
    </tableColumn>
    <tableColumn id="9" xr3:uid="{BE6B8D5A-0578-4EE8-BFF8-EE25299EC021}" name="2027" dataDxfId="70" dataCellStyle="Valuta">
      <calculatedColumnFormula>H9*Tariefsopbouw!$Q$37+InvulExtraW[[#This Row],[2026]]</calculatedColumnFormula>
    </tableColumn>
  </tableColumns>
  <tableStyleInfo name="TableStyleMedium9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D9A52FA5-F9B4-45B5-A387-6092683A9825}" name="OverzichtExtraW" displayName="OverzichtExtraW" ref="A27:J49" totalsRowCount="1" headerRowDxfId="69" dataDxfId="68" totalsRowDxfId="67">
  <autoFilter ref="A27:J48" xr:uid="{E41A131E-EB40-4F29-AE3C-065F0A2D95C8}"/>
  <tableColumns count="10">
    <tableColumn id="11" xr3:uid="{4A5C9B33-41C3-4915-B542-7DC1AD9FF14F}" name="Code Locatie" dataDxfId="66" totalsRowDxfId="9"/>
    <tableColumn id="1" xr3:uid="{FF5298D9-5067-45A4-81A5-882F1F8F3319}" name="Locatie" totalsRowLabel="Totaal" dataDxfId="65" totalsRowDxfId="8">
      <calculatedColumnFormula>VLOOKUP(OverzichtExtraW[[#This Row],[Code Locatie]],Locaties[],2,0)</calculatedColumnFormula>
    </tableColumn>
    <tableColumn id="3" xr3:uid="{75EF3CFF-7C02-47BF-A16A-8F8E55A66900}" name="Code Taak" dataDxfId="64" totalsRowDxfId="7"/>
    <tableColumn id="4" xr3:uid="{ED70E36E-ED78-4AEF-B0FE-17A84FBA3EC9}" name="Toelichting" dataDxfId="63" totalsRowDxfId="6">
      <calculatedColumnFormula>IF(OverzichtExtraW[[#This Row],[Code Taak]]&gt;0,VLOOKUP(OverzichtExtraW[[#This Row],[Code Taak]],$A$8:$B$25,2,FALSE),"")</calculatedColumnFormula>
    </tableColumn>
    <tableColumn id="7" xr3:uid="{EC3FF687-6563-449B-A186-66DA51C1C802}" name="Aanvulling" dataDxfId="62" totalsRowDxfId="5"/>
    <tableColumn id="5" xr3:uid="{7AF2A117-9DAD-4826-A8E9-A01E3B69C2AA}" name="Uren/aantal per keer" dataDxfId="61" totalsRowDxfId="4"/>
    <tableColumn id="6" xr3:uid="{A96444E8-C73B-4DF3-9833-E8B9C86CEC7D}" name="Oppervlakte" dataDxfId="60" totalsRowDxfId="3">
      <calculatedColumnFormula>SUMIFS('Ruimtestaat'!$N:$N,'Ruimtestaat'!L:L,Vloeronderhoud!F19,'Ruimtestaat'!A:A,Vloeronderhoud!A19)</calculatedColumnFormula>
    </tableColumn>
    <tableColumn id="8" xr3:uid="{F2AC4F5C-ACEA-44DC-99EA-7065856A4E49}" name="Frequentie (uitv./jaar)" dataDxfId="59" totalsRowDxfId="2"/>
    <tableColumn id="9" xr3:uid="{B7EDB0B5-C652-4C0A-B329-0DB178C7B661}" name="Kosten/jaar excl. BTW" totalsRowFunction="sum" dataDxfId="58" totalsRowDxfId="1">
      <calculatedColumnFormula>VLOOKUP(OverzichtExtraW[[#This Row],[Code Taak]],InvulExtraW[],3,3)*G28*H28</calculatedColumnFormula>
    </tableColumn>
    <tableColumn id="2" xr3:uid="{E049BE14-7C06-4D17-8BAB-CD5F22930B50}" name="Opmerking" dataDxfId="57" totalsRowDxfId="0"/>
  </tableColumns>
  <tableStyleInfo name="TableStyleMedium9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B000000}" name="InvulRegie" displayName="InvulRegie" ref="B8:D39" totalsRowCount="1" headerRowDxfId="56" dataDxfId="55" totalsRowDxfId="54">
  <autoFilter ref="B8:D38" xr:uid="{00000000-0009-0000-0100-00000B000000}"/>
  <tableColumns count="3">
    <tableColumn id="1" xr3:uid="{00000000-0010-0000-0B00-000001000000}" name="Werkzaamheid" totalsRowLabel="Totaal" totalsRowDxfId="53"/>
    <tableColumn id="2" xr3:uid="{00000000-0010-0000-0B00-000002000000}" name="Eenheid" totalsRowDxfId="52"/>
    <tableColumn id="3" xr3:uid="{00000000-0010-0000-0B00-000003000000}" name="Prijs excl. BTW" dataDxfId="51" totalsRowDxfId="50"/>
  </tableColumns>
  <tableStyleInfo name="TableStyleMedium9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C000000}" name="Samenvattingschoonmaak" displayName="Samenvattingschoonmaak" ref="A6:H14" totalsRowCount="1" headerRowDxfId="49" dataDxfId="47" totalsRowDxfId="45" headerRowBorderDxfId="48" tableBorderDxfId="46">
  <autoFilter ref="A6:H13" xr:uid="{00000000-0009-0000-0100-00000E000000}"/>
  <tableColumns count="8">
    <tableColumn id="8" xr3:uid="{00000000-0010-0000-0C00-000008000000}" name="Code Locatie" dataDxfId="44" totalsRowDxfId="43"/>
    <tableColumn id="1" xr3:uid="{00000000-0010-0000-0C00-000001000000}" name="Locatie" totalsRowLabel="Totaal" dataDxfId="42" totalsRowDxfId="41"/>
    <tableColumn id="2" xr3:uid="{00000000-0010-0000-0C00-000002000000}" name="Oppervlakte i/o" totalsRowFunction="sum" dataDxfId="40" totalsRowDxfId="39"/>
    <tableColumn id="3" xr3:uid="{00000000-0010-0000-0C00-000003000000}" name="Prest. (m2 /jaar)" totalsRowFunction="sum" dataDxfId="38" totalsRowDxfId="37"/>
    <tableColumn id="4" xr3:uid="{00000000-0010-0000-0C00-000004000000}" name="Uren / jaar" totalsRowFunction="sum" dataDxfId="36" totalsRowDxfId="35"/>
    <tableColumn id="5" xr3:uid="{00000000-0010-0000-0C00-000005000000}" name="Norm (m2/uur)" totalsRowFunction="custom" dataDxfId="34" totalsRowDxfId="33">
      <calculatedColumnFormula>D7/E7</calculatedColumnFormula>
      <totalsRowFormula>Samenvattingschoonmaak[[#Totals],[Prest. (m2 /jaar)]]/Samenvattingschoonmaak[[#Totals],[Uren / jaar]]</totalsRowFormula>
    </tableColumn>
    <tableColumn id="6" xr3:uid="{00000000-0010-0000-0C00-000006000000}" name="Kosten / jaar" totalsRowFunction="sum" dataDxfId="32" totalsRowDxfId="31"/>
    <tableColumn id="7" xr3:uid="{00000000-0010-0000-0C00-000007000000}" name="Kosten / m2" totalsRowFunction="custom" dataDxfId="30" totalsRowDxfId="29">
      <calculatedColumnFormula>G7/C7</calculatedColumnFormula>
      <totalsRowFormula>Samenvattingschoonmaak[[#Totals],[Kosten / jaar]]/Samenvattingschoonmaak[[#Totals],[Oppervlakte i/o]]</totalsRowFormula>
    </tableColumn>
  </tableColumns>
  <tableStyleInfo name="TableStyleMedium9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D000000}" name="Totalisatie" displayName="Totalisatie" ref="A17:G25" totalsRowCount="1" headerRowDxfId="28" dataDxfId="26" totalsRowDxfId="24" headerRowBorderDxfId="27" tableBorderDxfId="25">
  <autoFilter ref="A17:G24" xr:uid="{00000000-0009-0000-0100-00000F000000}"/>
  <tableColumns count="7">
    <tableColumn id="8" xr3:uid="{00000000-0010-0000-0D00-000008000000}" name="Code Locatie" dataDxfId="23" totalsRowDxfId="16"/>
    <tableColumn id="1" xr3:uid="{00000000-0010-0000-0D00-000001000000}" name="Locaties" totalsRowLabel="Totaal" dataDxfId="22" totalsRowDxfId="15">
      <calculatedColumnFormula>VLOOKUP(Totalisatie[[#This Row],[Code Locatie]],Locaties[],2,0)</calculatedColumnFormula>
    </tableColumn>
    <tableColumn id="4" xr3:uid="{00000000-0010-0000-0D00-000004000000}" name="Schoonmaakonderhoud_x000a_Kosten / jaar" totalsRowFunction="sum" dataDxfId="21" totalsRowDxfId="14">
      <calculatedColumnFormula>SUMIF('Ruimtestaat'!A:A,Totalisatie[[#This Row],[Code Locatie]],'Ruimtestaat'!AG:AG)</calculatedColumnFormula>
    </tableColumn>
    <tableColumn id="6" xr3:uid="{00000000-0010-0000-0D00-000006000000}" name="Glasbewassing_x000a_Kosten / jaar" totalsRowFunction="sum" dataDxfId="20" totalsRowDxfId="13">
      <calculatedColumnFormula>SUMIF(Glasbewassing!$A$26:$A$67,Totalisatie[[#This Row],[Code Locatie]],Glasbewassing!$G$26:$G$67)</calculatedColumnFormula>
    </tableColumn>
    <tableColumn id="2" xr3:uid="{00000000-0010-0000-0D00-000002000000}" name="Vloeronderhoud_x000a_Kosten / jaar" totalsRowFunction="sum" dataDxfId="19" totalsRowDxfId="12">
      <calculatedColumnFormula>SUMIF(Vloeronderhoud!$A$19:$A$56,Totalisatie[[#This Row],[Code Locatie]],Vloeronderhoud!$I$19:$I$56)</calculatedColumnFormula>
    </tableColumn>
    <tableColumn id="3" xr3:uid="{9726B47C-D83E-4A42-BE16-229498248447}" name="Extra werkzaamheden_x000a_Kosten / jaar" totalsRowFunction="sum" dataDxfId="17" totalsRowDxfId="11">
      <calculatedColumnFormula>SUMIF(OverzichtExtraW[[Code Locatie]:[Kosten/jaar excl. BTW]],Totalisatie[[#This Row],[Code Locatie]],OverzichtExtraW[Kosten/jaar excl. BTW])</calculatedColumnFormula>
    </tableColumn>
    <tableColumn id="5" xr3:uid="{2A8C3CF1-513F-4CAD-A439-3F5FCA3E0363}" name="Totaalprijs_x000a_Kosten / jaar" totalsRowFunction="sum" dataDxfId="18" totalsRowDxfId="10">
      <calculatedColumnFormula>SUM(Totalisatie[[#This Row],[Schoonmaakonderhoud
Kosten / jaar]:[Extra werkzaamheden
Kosten / jaar]])</calculatedColumnFormula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Vloersoorten" displayName="Vloersoorten" ref="A39:F43" totalsRowShown="0" headerRowDxfId="191" dataDxfId="190">
  <autoFilter ref="A39:F43" xr:uid="{00000000-0009-0000-0100-000007000000}"/>
  <tableColumns count="6">
    <tableColumn id="1" xr3:uid="{00000000-0010-0000-0100-000001000000}" name="Code" dataDxfId="189"/>
    <tableColumn id="4" xr3:uid="{00000000-0010-0000-0100-000004000000}" name="Naam" dataDxfId="188"/>
    <tableColumn id="5" xr3:uid="{00000000-0010-0000-0100-000005000000}" name="Aanpassing norm" dataDxfId="187" dataCellStyle="Procent"/>
    <tableColumn id="2" xr3:uid="{00000000-0010-0000-0100-000002000000}" name="Vloersoort omschrijving" dataDxfId="186" dataCellStyle="Standaard 4"/>
    <tableColumn id="7" xr3:uid="{00000000-0010-0000-0100-000007000000}" name="Kolom2" dataDxfId="185" dataCellStyle="Standaard 4"/>
    <tableColumn id="6" xr3:uid="{00000000-0010-0000-0100-000006000000}" name="Kolom1" dataDxfId="184" dataCellStyle="Standaard 4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2000000}" name="Frequenties" displayName="Frequenties" ref="A46:D56" totalsRowShown="0" headerRowDxfId="183" dataDxfId="182">
  <autoFilter ref="A46:D56" xr:uid="{00000000-0009-0000-0100-000008000000}"/>
  <tableColumns count="4">
    <tableColumn id="1" xr3:uid="{00000000-0010-0000-0200-000001000000}" name="Code" dataDxfId="181" dataCellStyle="Standaard 4"/>
    <tableColumn id="2" xr3:uid="{00000000-0010-0000-0200-000002000000}" name="Frequentie omschrijving" dataDxfId="180" dataCellStyle="Standaard 4"/>
    <tableColumn id="3" xr3:uid="{00000000-0010-0000-0200-000003000000}" name="Aanpassing norm" dataDxfId="179" dataCellStyle="Procent"/>
    <tableColumn id="4" xr3:uid="{00000000-0010-0000-0200-000004000000}" name="Uitvoeringen" dataDxfId="178" dataCellStyle="Procent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3000000}" name="Locaties" displayName="Locaties" ref="A6:F13" totalsRowShown="0" dataDxfId="177">
  <autoFilter ref="A6:F13" xr:uid="{00000000-0009-0000-0100-00000D000000}"/>
  <tableColumns count="6">
    <tableColumn id="1" xr3:uid="{00000000-0010-0000-0300-000001000000}" name="Code" dataDxfId="176"/>
    <tableColumn id="2" xr3:uid="{00000000-0010-0000-0300-000002000000}" name="Locatie" dataDxfId="175"/>
    <tableColumn id="7" xr3:uid="{00000000-0010-0000-0300-000007000000}" name="Aanpassing norm" dataDxfId="174"/>
    <tableColumn id="3" xr3:uid="{00000000-0010-0000-0300-000003000000}" name="Adres" dataDxfId="173"/>
    <tableColumn id="4" xr3:uid="{00000000-0010-0000-0300-000004000000}" name="Postcode" dataDxfId="172"/>
    <tableColumn id="5" xr3:uid="{00000000-0010-0000-0300-000005000000}" name="Plaats" dataDxfId="171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4000000}" name="Ruimtestaat" displayName="Ruimtestaat" ref="A4:AG921" totalsRowShown="0" headerRowDxfId="170" dataDxfId="169">
  <autoFilter ref="A4:AG921" xr:uid="{B78C5E8C-24C7-4A23-AB0F-63FB43A90518}"/>
  <tableColumns count="33">
    <tableColumn id="32" xr3:uid="{00000000-0010-0000-0400-000020000000}" name="Code" dataDxfId="168"/>
    <tableColumn id="1" xr3:uid="{00000000-0010-0000-0400-000001000000}" name="Locatie" dataDxfId="167"/>
    <tableColumn id="3" xr3:uid="{00000000-0010-0000-0400-000003000000}" name="Adres" dataDxfId="166">
      <calculatedColumnFormula>VLOOKUP(Ruimtestaat[[#This Row],[Code]],Locaties[#All],4,FALSE)</calculatedColumnFormula>
    </tableColumn>
    <tableColumn id="4" xr3:uid="{00000000-0010-0000-0400-000004000000}" name="Postcode" dataDxfId="165">
      <calculatedColumnFormula>VLOOKUP(Ruimtestaat[[#This Row],[Code]],Locaties[#All],5,FALSE)</calculatedColumnFormula>
    </tableColumn>
    <tableColumn id="5" xr3:uid="{00000000-0010-0000-0400-000005000000}" name="Plaats" dataDxfId="164">
      <calculatedColumnFormula>VLOOKUP(Ruimtestaat[[#This Row],[Code]],Locaties[#All],6,FALSE)</calculatedColumnFormula>
    </tableColumn>
    <tableColumn id="2" xr3:uid="{00000000-0010-0000-0400-000002000000}" name="Gebouw gedeelte" dataDxfId="163"/>
    <tableColumn id="6" xr3:uid="{00000000-0010-0000-0400-000006000000}" name="Etage" dataDxfId="162"/>
    <tableColumn id="7" xr3:uid="{00000000-0010-0000-0400-000007000000}" name="Ruimte- _x000a_nummer" dataDxfId="161"/>
    <tableColumn id="8" xr3:uid="{00000000-0010-0000-0400-000008000000}" name="Ruimte omschrijving" dataDxfId="160"/>
    <tableColumn id="9" xr3:uid="{00000000-0010-0000-0400-000009000000}" name="Ruimte code" dataDxfId="159"/>
    <tableColumn id="10" xr3:uid="{B9837039-6C3C-4932-BE6D-77051D6B10ED}" name="Ruimte categorie" dataDxfId="158">
      <calculatedColumnFormula>VLOOKUP(Ruimtestaat[[#This Row],[Ruimte code]],Ruimtegroepen[#All],2,FALSE)</calculatedColumnFormula>
    </tableColumn>
    <tableColumn id="11" xr3:uid="{00000000-0010-0000-0400-00000B000000}" name="Vloer code" dataDxfId="157"/>
    <tableColumn id="12" xr3:uid="{00000000-0010-0000-0400-00000C000000}" name="Vloer afwerking" dataDxfId="156"/>
    <tableColumn id="13" xr3:uid="{00000000-0010-0000-0400-00000D000000}" name="Oppervlak (netto)" dataDxfId="155"/>
    <tableColumn id="14" xr3:uid="{00000000-0010-0000-0400-00000E000000}" name="Oppervlakte n.i.o." dataDxfId="154"/>
    <tableColumn id="15" xr3:uid="{00000000-0010-0000-0400-00000F000000}" name="Inspectie categorie" dataDxfId="153">
      <calculatedColumnFormula>VLOOKUP(Ruimtestaat[[#This Row],[Ruimte code]],Ruimtegroepen[#All],4,FALSE)</calculatedColumnFormula>
    </tableColumn>
    <tableColumn id="16" xr3:uid="{00000000-0010-0000-0400-000010000000}" name="Opmerking 1" dataDxfId="152"/>
    <tableColumn id="17" xr3:uid="{00000000-0010-0000-0400-000011000000}" name="Aantal weken/jr" dataDxfId="151"/>
    <tableColumn id="18" xr3:uid="{00000000-0010-0000-0400-000012000000}" name="Ruimte gebruiks-intentie" dataDxfId="150"/>
    <tableColumn id="19" xr3:uid="{00000000-0010-0000-0400-000013000000}" name="Uitvoeringen werkdagen" dataDxfId="149">
      <calculatedColumnFormula>IF(R5&gt;0,IF(RIGHT(Ruimtestaat[[#This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calculatedColumnFormula>
    </tableColumn>
    <tableColumn id="20" xr3:uid="{00000000-0010-0000-0400-000014000000}" name="Norm (m2/uur) werkdagen" dataDxfId="148">
      <calculatedColumnFormula>IF(T5&gt;0,VLOOKUP($J5,Ruimtegroepen[],3,FALSE)*VLOOKUP($L5,Vloersoorten[],3,FALSE)*VLOOKUP($S5,Frequenties[],3,FALSE)*VLOOKUP($A5,Locaties[],3,FALSE),0)</calculatedColumnFormula>
    </tableColumn>
    <tableColumn id="21" xr3:uid="{00000000-0010-0000-0400-000015000000}" name="Prest. (m2 /jaar) werkdagen" dataDxfId="147">
      <calculatedColumnFormula>Ruimtestaat[[#This Row],[Uitvoeringen werkdagen]]*Ruimtestaat[[#This Row],[Oppervlak (netto)]]</calculatedColumnFormula>
    </tableColumn>
    <tableColumn id="22" xr3:uid="{00000000-0010-0000-0400-000016000000}" name="uren / jaar werkdagen" dataDxfId="146" dataCellStyle="Komma">
      <calculatedColumnFormula>IF(U5&gt;0,Ruimtestaat[[#This Row],[Prest. (m2 /jaar) werkdagen]]/Ruimtestaat[[#This Row],[Norm (m2/uur) werkdagen]],0)</calculatedColumnFormula>
    </tableColumn>
    <tableColumn id="23" xr3:uid="{00000000-0010-0000-0400-000017000000}" name="kosten / jaar werkdagen" dataDxfId="145" dataCellStyle="Valuta">
      <calculatedColumnFormula>Ruimtestaat[[#This Row],[uren / jaar werkdagen]]*Tariefsopbouw!$D$38</calculatedColumnFormula>
    </tableColumn>
    <tableColumn id="24" xr3:uid="{00000000-0010-0000-0400-000018000000}" name="Frequentie weekend" dataDxfId="144"/>
    <tableColumn id="38" xr3:uid="{00000000-0010-0000-0400-000026000000}" name="Uitvoeringen weekend" dataDxfId="143">
      <calculatedColumnFormula>IF(Ruimtestaat[[#This Row],[Frequentie weekend]]&gt;0,VALUE(LEFT(Y5,1))*R5,0)</calculatedColumnFormula>
    </tableColumn>
    <tableColumn id="25" xr3:uid="{00000000-0010-0000-0400-000019000000}" name="Norm (m2/uur) weekend" dataDxfId="142">
      <calculatedColumnFormula>IF($Z5&gt;0,VLOOKUP($J5,Ruimtegroepen[],3,FALSE)*VLOOKUP($L5,Vloersoorten[],3,FALSE)*VLOOKUP($Y5,Frequenties[],3,FALSE)*VLOOKUP(#REF!,Locaties[],3,FALSE),0)</calculatedColumnFormula>
    </tableColumn>
    <tableColumn id="26" xr3:uid="{00000000-0010-0000-0400-00001A000000}" name="Prest. (m2 /jaar) weekend" dataDxfId="141"/>
    <tableColumn id="27" xr3:uid="{00000000-0010-0000-0400-00001B000000}" name="uren / jaar weekend" dataDxfId="140"/>
    <tableColumn id="28" xr3:uid="{00000000-0010-0000-0400-00001C000000}" name="kosten / jaar weekend" dataDxfId="139">
      <calculatedColumnFormula>Ruimtestaat[[#This Row],[uren / jaar weekend]]*Tariefsopbouw!$D$40</calculatedColumnFormula>
    </tableColumn>
    <tableColumn id="29" xr3:uid="{00000000-0010-0000-0400-00001D000000}" name="Prest. (m2 /jaar)" dataDxfId="138" dataCellStyle="Komma">
      <calculatedColumnFormula>Ruimtestaat[[#This Row],[Prest. (m2 /jaar) weekend]]+Ruimtestaat[[#This Row],[Prest. (m2 /jaar) werkdagen]]</calculatedColumnFormula>
    </tableColumn>
    <tableColumn id="30" xr3:uid="{00000000-0010-0000-0400-00001E000000}" name="uren / jaar" dataDxfId="137" dataCellStyle="Komma">
      <calculatedColumnFormula>Ruimtestaat[[#This Row],[uren / jaar weekend]]+Ruimtestaat[[#This Row],[uren / jaar werkdagen]]</calculatedColumnFormula>
    </tableColumn>
    <tableColumn id="31" xr3:uid="{00000000-0010-0000-0400-00001F000000}" name="kosten / jaar" dataDxfId="136">
      <calculatedColumnFormula>Ruimtestaat[[#This Row],[kosten / jaar weekend]]+Ruimtestaat[[#This Row],[kosten / jaar werkdagen]]</calculatedColumnFormula>
    </tableColumn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5000000}" name="InvulGlas" displayName="InvulGlas" ref="A8:I24" totalsRowShown="0" headerRowDxfId="135">
  <autoFilter ref="A8:I24" xr:uid="{00000000-0009-0000-0100-000003000000}"/>
  <tableColumns count="9">
    <tableColumn id="1" xr3:uid="{00000000-0010-0000-0500-000001000000}" name="Code taak" dataDxfId="134"/>
    <tableColumn id="2" xr3:uid="{00000000-0010-0000-0500-000002000000}" name="Glassoort/voorziening"/>
    <tableColumn id="3" xr3:uid="{00000000-0010-0000-0500-000003000000}" name="Prijs excl. BTW" dataDxfId="133"/>
    <tableColumn id="4" xr3:uid="{00000000-0010-0000-0500-000004000000}" name="Eenheid" dataDxfId="132"/>
    <tableColumn id="5" xr3:uid="{CC43D47B-51D1-48C7-9FBE-6228B4D72C08}" name="2023" dataDxfId="131" dataCellStyle="Valuta">
      <calculatedColumnFormula>(InvulGlas[[#This Row],[Prijs excl. BTW]]*Tariefsopbouw!$I$35)+InvulGlas[[#This Row],[Prijs excl. BTW]]</calculatedColumnFormula>
    </tableColumn>
    <tableColumn id="6" xr3:uid="{14AF2224-D978-4323-B50E-296D91A6AA97}" name="2024" dataDxfId="130" dataCellStyle="Valuta">
      <calculatedColumnFormula>E9*Tariefsopbouw!$K$35+Glasbewassing!E9</calculatedColumnFormula>
    </tableColumn>
    <tableColumn id="7" xr3:uid="{C18EB174-680A-4DCC-A57F-327D4F1C3675}" name="2025" dataDxfId="129" dataCellStyle="Valuta">
      <calculatedColumnFormula>F9*Tariefsopbouw!$M$35+Glasbewassing!F9</calculatedColumnFormula>
    </tableColumn>
    <tableColumn id="8" xr3:uid="{2002E41E-1578-4095-8CE5-943025AA110B}" name="2026" dataDxfId="128" dataCellStyle="Valuta">
      <calculatedColumnFormula>G10*Tariefsopbouw!$O$35+Glasbewassing!G10</calculatedColumnFormula>
    </tableColumn>
    <tableColumn id="9" xr3:uid="{95B9447D-2760-430F-8929-530FC65F506E}" name="2027" dataDxfId="127" dataCellStyle="Valuta">
      <calculatedColumnFormula>H9*Tariefsopbouw!$Q$35+Glasbewassing!H9</calculatedColumnFormula>
    </tableColumn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6000000}" name="OverzichtGlas" displayName="OverzichtGlas" ref="A26:G68" totalsRowCount="1" headerRowDxfId="126" dataDxfId="125" totalsRowDxfId="124">
  <autoFilter ref="A26:G67" xr:uid="{00000000-0009-0000-0100-000004000000}"/>
  <tableColumns count="7">
    <tableColumn id="1" xr3:uid="{00000000-0010-0000-0600-000001000000}" name="Code Locatie" totalsRowLabel="Totaal" dataDxfId="123" totalsRowDxfId="122"/>
    <tableColumn id="2" xr3:uid="{00000000-0010-0000-0600-000002000000}" name="Locatie" dataDxfId="121" totalsRowDxfId="120">
      <calculatedColumnFormula>VLOOKUP(OverzichtGlas[[#This Row],[Code Locatie]],Locaties[],2,0)</calculatedColumnFormula>
    </tableColumn>
    <tableColumn id="3" xr3:uid="{00000000-0010-0000-0600-000003000000}" name="Code taak" dataDxfId="119" totalsRowDxfId="118"/>
    <tableColumn id="4" xr3:uid="{00000000-0010-0000-0600-000004000000}" name="Glassoort/voorziening" dataDxfId="117" totalsRowDxfId="116">
      <calculatedColumnFormula>IF(Glasbewassing!$C27&gt;0,VLOOKUP(Glasbewassing!$C27,$A$8:$B$24,2,FALSE),"Hier vult u de inzet van eventuele hoogwerkers in")</calculatedColumnFormula>
    </tableColumn>
    <tableColumn id="5" xr3:uid="{00000000-0010-0000-0600-000005000000}" name="Oppervlakte of dagen" dataDxfId="115" totalsRowDxfId="114"/>
    <tableColumn id="7" xr3:uid="{00000000-0010-0000-0600-000007000000}" name="Frequentie" dataDxfId="113" totalsRowDxfId="112"/>
    <tableColumn id="8" xr3:uid="{00000000-0010-0000-0600-000008000000}" name="Kosten/jaar excl. BTW" totalsRowFunction="sum" dataDxfId="111" totalsRowDxfId="110">
      <calculatedColumnFormula>IF(C27&gt;0,VLOOKUP(OverzichtGlas[[#This Row],[Code taak]],InvulGlas[],3,0)*E27*F27,0)</calculatedColumnFormula>
    </tableColumn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7000000}" name="InvulVloer" displayName="InvulVloer" ref="A8:I16" totalsRowShown="0" headerRowDxfId="109">
  <autoFilter ref="A8:I16" xr:uid="{00000000-0009-0000-0100-000001000000}"/>
  <tableColumns count="9">
    <tableColumn id="1" xr3:uid="{00000000-0010-0000-0700-000001000000}" name="Code Taak" dataDxfId="108"/>
    <tableColumn id="2" xr3:uid="{00000000-0010-0000-0700-000002000000}" name="Werkzaamheden"/>
    <tableColumn id="3" xr3:uid="{00000000-0010-0000-0700-000003000000}" name="Prijs" dataDxfId="107"/>
    <tableColumn id="4" xr3:uid="{00000000-0010-0000-0700-000004000000}" name="Omschrijving2" dataDxfId="106"/>
    <tableColumn id="5" xr3:uid="{8DD3E179-6B7B-4CB1-A28F-5B8ADA215124}" name="2023" dataDxfId="105" dataCellStyle="Valuta"/>
    <tableColumn id="6" xr3:uid="{BB6E692A-46D1-42B6-A2AC-B4AAABCA88E4}" name="2024" dataDxfId="104" dataCellStyle="Valuta"/>
    <tableColumn id="7" xr3:uid="{6BFC02B3-9153-4384-A0A7-3FBFD6F25134}" name="2025" dataDxfId="103" dataCellStyle="Valuta"/>
    <tableColumn id="8" xr3:uid="{228E54AD-BFA8-4C70-8624-B963D0DBB212}" name="2026" dataDxfId="102" dataCellStyle="Valuta"/>
    <tableColumn id="9" xr3:uid="{2398F346-59C2-4DEF-820B-7FDF89228FD6}" name="2027" dataDxfId="101" dataCellStyle="Valuta"/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8000000}" name="OverzichtVloer" displayName="OverzichtVloer" ref="A18:I56" totalsRowCount="1" headerRowDxfId="100" dataDxfId="99" totalsRowDxfId="98">
  <autoFilter ref="A18:I55" xr:uid="{00000000-0009-0000-0100-000002000000}"/>
  <tableColumns count="9">
    <tableColumn id="11" xr3:uid="{00000000-0010-0000-0800-00000B000000}" name="Code Locatie" dataDxfId="97" totalsRowDxfId="96"/>
    <tableColumn id="1" xr3:uid="{00000000-0010-0000-0800-000001000000}" name="Locatie" totalsRowLabel="Totaal" dataDxfId="95" totalsRowDxfId="94"/>
    <tableColumn id="3" xr3:uid="{00000000-0010-0000-0800-000003000000}" name="Code Taak" dataDxfId="93" totalsRowDxfId="92"/>
    <tableColumn id="4" xr3:uid="{00000000-0010-0000-0800-000004000000}" name="Vloersoort / toelichting" dataDxfId="91" totalsRowDxfId="90">
      <calculatedColumnFormula>IF(Vloeronderhoud!$C19&gt;0,VLOOKUP(Vloeronderhoud!$C19,$A$8:$B$16,2,FALSE),"")</calculatedColumnFormula>
    </tableColumn>
    <tableColumn id="7" xr3:uid="{A0F31472-70BC-4799-A7CE-CD7FA0928223}" name="Extra" dataDxfId="89" totalsRowDxfId="88"/>
    <tableColumn id="5" xr3:uid="{00000000-0010-0000-0800-000005000000}" name="Vloersoort" dataDxfId="87" totalsRowDxfId="86"/>
    <tableColumn id="6" xr3:uid="{00000000-0010-0000-0800-000006000000}" name="Oppervlakte" dataDxfId="85" totalsRowDxfId="84">
      <calculatedColumnFormula>SUMIFS('Ruimtestaat'!$N:$N,'Ruimtestaat'!L:L,Vloeronderhoud!F19,'Ruimtestaat'!A:A,Vloeronderhoud!A19)</calculatedColumnFormula>
    </tableColumn>
    <tableColumn id="8" xr3:uid="{00000000-0010-0000-0800-000008000000}" name="Frequentie (uitv./jaar)" dataDxfId="83" totalsRowDxfId="82"/>
    <tableColumn id="9" xr3:uid="{00000000-0010-0000-0800-000009000000}" name="Kosten/jaar excl. BTW" totalsRowFunction="sum" dataDxfId="81" totalsRowDxfId="80">
      <calculatedColumnFormula>H19*#REF!*G19</calculatedColumn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5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EE8A5-78E4-4C57-8430-12CDE2A20B61}">
  <sheetPr>
    <pageSetUpPr fitToPage="1"/>
  </sheetPr>
  <dimension ref="A1:D87"/>
  <sheetViews>
    <sheetView zoomScaleNormal="100" workbookViewId="0">
      <selection sqref="A1:D1"/>
    </sheetView>
  </sheetViews>
  <sheetFormatPr defaultColWidth="9" defaultRowHeight="12.75"/>
  <cols>
    <col min="1" max="1" width="29.5703125" style="196" customWidth="1"/>
    <col min="2" max="2" width="33.28515625" style="196" customWidth="1"/>
    <col min="3" max="3" width="45.42578125" style="196" bestFit="1" customWidth="1"/>
    <col min="4" max="4" width="54" style="196" customWidth="1"/>
    <col min="5" max="16384" width="9" style="191"/>
  </cols>
  <sheetData>
    <row r="1" spans="1:4" ht="18.75" customHeight="1">
      <c r="A1" s="303" t="s">
        <v>271</v>
      </c>
      <c r="B1" s="304"/>
      <c r="C1" s="304"/>
      <c r="D1" s="305"/>
    </row>
    <row r="2" spans="1:4">
      <c r="A2" s="284" t="s">
        <v>272</v>
      </c>
      <c r="B2" s="284" t="s">
        <v>273</v>
      </c>
      <c r="C2" s="284" t="s">
        <v>274</v>
      </c>
      <c r="D2" s="284" t="s">
        <v>275</v>
      </c>
    </row>
    <row r="3" spans="1:4">
      <c r="A3" s="214"/>
      <c r="B3" s="214"/>
      <c r="C3" s="214"/>
      <c r="D3" s="214" t="s">
        <v>276</v>
      </c>
    </row>
    <row r="4" spans="1:4">
      <c r="A4" s="214" t="s">
        <v>277</v>
      </c>
      <c r="B4" s="214"/>
      <c r="C4" s="214"/>
      <c r="D4" s="214"/>
    </row>
    <row r="5" spans="1:4" ht="30" customHeight="1">
      <c r="A5" s="299" t="s">
        <v>278</v>
      </c>
      <c r="B5" s="192"/>
      <c r="C5" s="193" t="s">
        <v>324</v>
      </c>
      <c r="D5" s="296"/>
    </row>
    <row r="6" spans="1:4" ht="30" customHeight="1">
      <c r="A6" s="300"/>
      <c r="B6" s="192" t="s">
        <v>1287</v>
      </c>
      <c r="C6" s="193" t="s">
        <v>281</v>
      </c>
      <c r="D6" s="193" t="s">
        <v>282</v>
      </c>
    </row>
    <row r="7" spans="1:4" ht="25.5">
      <c r="A7" s="192" t="s">
        <v>279</v>
      </c>
      <c r="B7" s="192" t="s">
        <v>280</v>
      </c>
      <c r="C7" s="193" t="s">
        <v>281</v>
      </c>
      <c r="D7" s="193" t="s">
        <v>282</v>
      </c>
    </row>
    <row r="8" spans="1:4">
      <c r="A8" s="192" t="s">
        <v>291</v>
      </c>
      <c r="B8" s="192" t="s">
        <v>289</v>
      </c>
      <c r="C8" s="193" t="s">
        <v>292</v>
      </c>
      <c r="D8" s="193"/>
    </row>
    <row r="9" spans="1:4" ht="25.5">
      <c r="A9" s="192" t="s">
        <v>285</v>
      </c>
      <c r="B9" s="192" t="s">
        <v>286</v>
      </c>
      <c r="C9" s="193" t="s">
        <v>287</v>
      </c>
      <c r="D9" s="193" t="s">
        <v>288</v>
      </c>
    </row>
    <row r="10" spans="1:4" ht="25.5">
      <c r="A10" s="192" t="s">
        <v>285</v>
      </c>
      <c r="B10" s="192" t="s">
        <v>289</v>
      </c>
      <c r="C10" s="193" t="s">
        <v>290</v>
      </c>
      <c r="D10" s="193" t="s">
        <v>288</v>
      </c>
    </row>
    <row r="11" spans="1:4">
      <c r="A11" s="192" t="s">
        <v>283</v>
      </c>
      <c r="B11" s="192" t="s">
        <v>280</v>
      </c>
      <c r="C11" s="193" t="s">
        <v>281</v>
      </c>
      <c r="D11" s="193" t="s">
        <v>284</v>
      </c>
    </row>
    <row r="12" spans="1:4" ht="25.5">
      <c r="A12" s="192" t="s">
        <v>293</v>
      </c>
      <c r="B12" s="192" t="s">
        <v>280</v>
      </c>
      <c r="C12" s="193" t="s">
        <v>281</v>
      </c>
      <c r="D12" s="193" t="s">
        <v>294</v>
      </c>
    </row>
    <row r="13" spans="1:4">
      <c r="A13" s="192" t="s">
        <v>295</v>
      </c>
      <c r="B13" s="192" t="s">
        <v>280</v>
      </c>
      <c r="C13" s="193" t="s">
        <v>281</v>
      </c>
      <c r="D13" s="192" t="s">
        <v>296</v>
      </c>
    </row>
    <row r="14" spans="1:4" ht="25.5">
      <c r="A14" s="194" t="s">
        <v>297</v>
      </c>
      <c r="B14" s="194" t="s">
        <v>280</v>
      </c>
      <c r="C14" s="195" t="s">
        <v>281</v>
      </c>
      <c r="D14" s="195" t="s">
        <v>298</v>
      </c>
    </row>
    <row r="15" spans="1:4" ht="25.5">
      <c r="A15" s="192" t="s">
        <v>299</v>
      </c>
      <c r="B15" s="192" t="s">
        <v>280</v>
      </c>
      <c r="C15" s="193" t="s">
        <v>281</v>
      </c>
      <c r="D15" s="193" t="s">
        <v>300</v>
      </c>
    </row>
    <row r="16" spans="1:4" ht="25.5">
      <c r="A16" s="192" t="s">
        <v>325</v>
      </c>
      <c r="B16" s="192" t="s">
        <v>289</v>
      </c>
      <c r="C16" s="193" t="s">
        <v>281</v>
      </c>
      <c r="D16" s="296" t="s">
        <v>326</v>
      </c>
    </row>
    <row r="17" spans="1:4" ht="25.5">
      <c r="A17" s="192" t="s">
        <v>327</v>
      </c>
      <c r="B17" s="192" t="s">
        <v>289</v>
      </c>
      <c r="C17" s="193" t="s">
        <v>281</v>
      </c>
      <c r="D17" s="296" t="s">
        <v>328</v>
      </c>
    </row>
    <row r="18" spans="1:4" ht="38.25">
      <c r="A18" s="192" t="s">
        <v>329</v>
      </c>
      <c r="B18" s="192" t="s">
        <v>280</v>
      </c>
      <c r="C18" s="193" t="s">
        <v>281</v>
      </c>
      <c r="D18" s="296" t="s">
        <v>330</v>
      </c>
    </row>
    <row r="19" spans="1:4" ht="25.5">
      <c r="A19" s="192" t="s">
        <v>301</v>
      </c>
      <c r="B19" s="192" t="s">
        <v>289</v>
      </c>
      <c r="C19" s="193" t="s">
        <v>281</v>
      </c>
      <c r="D19" s="193" t="s">
        <v>302</v>
      </c>
    </row>
    <row r="20" spans="1:4" ht="25.5">
      <c r="A20" s="192" t="s">
        <v>303</v>
      </c>
      <c r="B20" s="192" t="s">
        <v>280</v>
      </c>
      <c r="C20" s="193" t="s">
        <v>281</v>
      </c>
      <c r="D20" s="296" t="s">
        <v>304</v>
      </c>
    </row>
    <row r="21" spans="1:4" ht="25.5">
      <c r="A21" s="192" t="s">
        <v>305</v>
      </c>
      <c r="B21" s="192" t="s">
        <v>280</v>
      </c>
      <c r="C21" s="193" t="s">
        <v>281</v>
      </c>
      <c r="D21" s="296" t="s">
        <v>306</v>
      </c>
    </row>
    <row r="22" spans="1:4" ht="25.5">
      <c r="A22" s="192" t="s">
        <v>307</v>
      </c>
      <c r="B22" s="192" t="s">
        <v>289</v>
      </c>
      <c r="C22" s="193" t="s">
        <v>281</v>
      </c>
      <c r="D22" s="296" t="s">
        <v>300</v>
      </c>
    </row>
    <row r="23" spans="1:4" ht="25.5">
      <c r="A23" s="192" t="s">
        <v>1286</v>
      </c>
      <c r="B23" s="192" t="s">
        <v>289</v>
      </c>
      <c r="C23" s="193" t="s">
        <v>281</v>
      </c>
      <c r="D23" s="193" t="s">
        <v>331</v>
      </c>
    </row>
    <row r="24" spans="1:4" ht="25.5">
      <c r="A24" s="192" t="s">
        <v>269</v>
      </c>
      <c r="B24" s="192" t="s">
        <v>289</v>
      </c>
      <c r="C24" s="193" t="s">
        <v>281</v>
      </c>
      <c r="D24" s="193" t="s">
        <v>326</v>
      </c>
    </row>
    <row r="25" spans="1:4" ht="25.5">
      <c r="A25" s="192" t="s">
        <v>308</v>
      </c>
      <c r="B25" s="192" t="s">
        <v>280</v>
      </c>
      <c r="C25" s="193" t="s">
        <v>281</v>
      </c>
      <c r="D25" s="296" t="s">
        <v>306</v>
      </c>
    </row>
    <row r="26" spans="1:4">
      <c r="A26" s="192" t="s">
        <v>309</v>
      </c>
      <c r="B26" s="192" t="s">
        <v>310</v>
      </c>
      <c r="C26" s="193" t="s">
        <v>311</v>
      </c>
      <c r="D26" s="296"/>
    </row>
    <row r="27" spans="1:4" ht="25.5">
      <c r="A27" s="192" t="s">
        <v>309</v>
      </c>
      <c r="B27" s="192" t="s">
        <v>289</v>
      </c>
      <c r="C27" s="193" t="s">
        <v>281</v>
      </c>
      <c r="D27" s="296" t="s">
        <v>304</v>
      </c>
    </row>
    <row r="28" spans="1:4" ht="25.5">
      <c r="A28" s="192" t="s">
        <v>312</v>
      </c>
      <c r="B28" s="192" t="s">
        <v>280</v>
      </c>
      <c r="C28" s="193" t="s">
        <v>281</v>
      </c>
      <c r="D28" s="296" t="s">
        <v>313</v>
      </c>
    </row>
    <row r="29" spans="1:4" ht="25.5">
      <c r="A29" s="192" t="s">
        <v>332</v>
      </c>
      <c r="B29" s="192" t="s">
        <v>289</v>
      </c>
      <c r="C29" s="193" t="s">
        <v>281</v>
      </c>
      <c r="D29" s="193" t="s">
        <v>333</v>
      </c>
    </row>
    <row r="30" spans="1:4">
      <c r="A30" s="192" t="s">
        <v>334</v>
      </c>
      <c r="B30" s="192" t="s">
        <v>280</v>
      </c>
      <c r="C30" s="193" t="s">
        <v>281</v>
      </c>
      <c r="D30" s="296" t="s">
        <v>296</v>
      </c>
    </row>
    <row r="31" spans="1:4" ht="25.5">
      <c r="A31" s="192" t="s">
        <v>314</v>
      </c>
      <c r="B31" s="192" t="s">
        <v>280</v>
      </c>
      <c r="C31" s="193" t="s">
        <v>281</v>
      </c>
      <c r="D31" s="296" t="s">
        <v>315</v>
      </c>
    </row>
    <row r="32" spans="1:4" ht="38.25">
      <c r="A32" s="192" t="s">
        <v>316</v>
      </c>
      <c r="B32" s="192" t="s">
        <v>280</v>
      </c>
      <c r="C32" s="193" t="s">
        <v>281</v>
      </c>
      <c r="D32" s="296" t="s">
        <v>317</v>
      </c>
    </row>
    <row r="33" spans="1:4" ht="25.5">
      <c r="A33" s="192" t="s">
        <v>318</v>
      </c>
      <c r="B33" s="192" t="s">
        <v>280</v>
      </c>
      <c r="C33" s="193" t="s">
        <v>281</v>
      </c>
      <c r="D33" s="296" t="s">
        <v>313</v>
      </c>
    </row>
    <row r="34" spans="1:4" ht="25.5">
      <c r="A34" s="192" t="s">
        <v>335</v>
      </c>
      <c r="B34" s="192" t="s">
        <v>280</v>
      </c>
      <c r="C34" s="193" t="s">
        <v>281</v>
      </c>
      <c r="D34" s="296" t="s">
        <v>304</v>
      </c>
    </row>
    <row r="35" spans="1:4" ht="25.5">
      <c r="A35" s="192" t="s">
        <v>336</v>
      </c>
      <c r="B35" s="192" t="s">
        <v>289</v>
      </c>
      <c r="C35" s="193" t="s">
        <v>281</v>
      </c>
      <c r="D35" s="296" t="s">
        <v>337</v>
      </c>
    </row>
    <row r="36" spans="1:4" ht="25.5">
      <c r="A36" s="192" t="s">
        <v>338</v>
      </c>
      <c r="B36" s="192" t="s">
        <v>289</v>
      </c>
      <c r="C36" s="193" t="s">
        <v>281</v>
      </c>
      <c r="D36" s="296" t="s">
        <v>339</v>
      </c>
    </row>
    <row r="37" spans="1:4" ht="25.5">
      <c r="A37" s="192" t="s">
        <v>319</v>
      </c>
      <c r="B37" s="192" t="s">
        <v>289</v>
      </c>
      <c r="C37" s="193" t="s">
        <v>281</v>
      </c>
      <c r="D37" s="296" t="s">
        <v>320</v>
      </c>
    </row>
    <row r="38" spans="1:4" ht="25.5">
      <c r="A38" s="192" t="s">
        <v>321</v>
      </c>
      <c r="B38" s="192" t="s">
        <v>289</v>
      </c>
      <c r="C38" s="193" t="s">
        <v>281</v>
      </c>
      <c r="D38" s="296" t="s">
        <v>304</v>
      </c>
    </row>
    <row r="39" spans="1:4" ht="25.5">
      <c r="A39" s="192" t="s">
        <v>340</v>
      </c>
      <c r="B39" s="192" t="s">
        <v>289</v>
      </c>
      <c r="C39" s="193" t="s">
        <v>281</v>
      </c>
      <c r="D39" s="193" t="s">
        <v>341</v>
      </c>
    </row>
    <row r="40" spans="1:4" ht="25.5">
      <c r="A40" s="192" t="s">
        <v>342</v>
      </c>
      <c r="B40" s="192" t="s">
        <v>289</v>
      </c>
      <c r="C40" s="193" t="s">
        <v>281</v>
      </c>
      <c r="D40" s="296" t="s">
        <v>304</v>
      </c>
    </row>
    <row r="41" spans="1:4">
      <c r="A41" s="192" t="s">
        <v>343</v>
      </c>
      <c r="B41" s="192" t="s">
        <v>280</v>
      </c>
      <c r="C41" s="193" t="s">
        <v>281</v>
      </c>
      <c r="D41" s="296" t="s">
        <v>296</v>
      </c>
    </row>
    <row r="42" spans="1:4" ht="25.5">
      <c r="A42" s="192" t="s">
        <v>344</v>
      </c>
      <c r="B42" s="192" t="s">
        <v>280</v>
      </c>
      <c r="C42" s="193" t="s">
        <v>281</v>
      </c>
      <c r="D42" s="296" t="s">
        <v>302</v>
      </c>
    </row>
    <row r="43" spans="1:4" ht="25.5">
      <c r="A43" s="192" t="s">
        <v>322</v>
      </c>
      <c r="B43" s="192" t="s">
        <v>280</v>
      </c>
      <c r="C43" s="193" t="s">
        <v>281</v>
      </c>
      <c r="D43" s="296" t="s">
        <v>304</v>
      </c>
    </row>
    <row r="44" spans="1:4" ht="38.25">
      <c r="A44" s="192" t="s">
        <v>345</v>
      </c>
      <c r="B44" s="192" t="s">
        <v>289</v>
      </c>
      <c r="C44" s="193" t="s">
        <v>281</v>
      </c>
      <c r="D44" s="296" t="s">
        <v>346</v>
      </c>
    </row>
    <row r="45" spans="1:4" ht="25.5">
      <c r="A45" s="192" t="s">
        <v>323</v>
      </c>
      <c r="B45" s="192" t="s">
        <v>289</v>
      </c>
      <c r="C45" s="193" t="s">
        <v>281</v>
      </c>
      <c r="D45" s="296" t="s">
        <v>304</v>
      </c>
    </row>
    <row r="46" spans="1:4">
      <c r="A46" s="214" t="s">
        <v>272</v>
      </c>
      <c r="B46" s="214" t="s">
        <v>273</v>
      </c>
      <c r="C46" s="214" t="s">
        <v>274</v>
      </c>
      <c r="D46" s="214" t="s">
        <v>275</v>
      </c>
    </row>
    <row r="47" spans="1:4">
      <c r="A47" s="214"/>
      <c r="B47" s="214"/>
      <c r="C47" s="214"/>
      <c r="D47" s="214" t="s">
        <v>276</v>
      </c>
    </row>
    <row r="48" spans="1:4">
      <c r="A48" s="214" t="s">
        <v>347</v>
      </c>
      <c r="B48" s="214"/>
      <c r="C48" s="214"/>
      <c r="D48" s="214"/>
    </row>
    <row r="49" spans="1:4" ht="38.25">
      <c r="A49" s="301" t="s">
        <v>278</v>
      </c>
      <c r="B49" s="192"/>
      <c r="C49" s="193" t="s">
        <v>348</v>
      </c>
      <c r="D49" s="193"/>
    </row>
    <row r="50" spans="1:4" ht="25.5">
      <c r="A50" s="302"/>
      <c r="B50" s="192" t="s">
        <v>1287</v>
      </c>
      <c r="C50" s="193" t="s">
        <v>281</v>
      </c>
      <c r="D50" s="296" t="s">
        <v>351</v>
      </c>
    </row>
    <row r="51" spans="1:4" ht="25.5">
      <c r="A51" s="192" t="s">
        <v>349</v>
      </c>
      <c r="B51" s="192" t="s">
        <v>289</v>
      </c>
      <c r="C51" s="193" t="s">
        <v>350</v>
      </c>
      <c r="D51" s="296" t="s">
        <v>351</v>
      </c>
    </row>
    <row r="52" spans="1:4" ht="25.5">
      <c r="A52" s="192" t="s">
        <v>352</v>
      </c>
      <c r="B52" s="192" t="s">
        <v>289</v>
      </c>
      <c r="C52" s="193" t="s">
        <v>281</v>
      </c>
      <c r="D52" s="296" t="s">
        <v>353</v>
      </c>
    </row>
    <row r="53" spans="1:4">
      <c r="A53" s="192" t="s">
        <v>354</v>
      </c>
      <c r="B53" s="192" t="s">
        <v>289</v>
      </c>
      <c r="C53" s="193" t="s">
        <v>1288</v>
      </c>
      <c r="D53" s="296" t="s">
        <v>355</v>
      </c>
    </row>
    <row r="54" spans="1:4">
      <c r="A54" s="192" t="s">
        <v>356</v>
      </c>
      <c r="B54" s="192" t="s">
        <v>289</v>
      </c>
      <c r="C54" s="193" t="s">
        <v>281</v>
      </c>
      <c r="D54" s="296" t="s">
        <v>355</v>
      </c>
    </row>
    <row r="55" spans="1:4" ht="25.5">
      <c r="A55" s="192" t="s">
        <v>357</v>
      </c>
      <c r="B55" s="192" t="s">
        <v>289</v>
      </c>
      <c r="C55" s="193" t="s">
        <v>281</v>
      </c>
      <c r="D55" s="296" t="s">
        <v>304</v>
      </c>
    </row>
    <row r="56" spans="1:4">
      <c r="A56" s="192" t="s">
        <v>358</v>
      </c>
      <c r="B56" s="192" t="s">
        <v>289</v>
      </c>
      <c r="C56" s="193" t="s">
        <v>1288</v>
      </c>
      <c r="D56" s="296" t="s">
        <v>355</v>
      </c>
    </row>
    <row r="57" spans="1:4" ht="25.5">
      <c r="A57" s="192" t="s">
        <v>359</v>
      </c>
      <c r="B57" s="192" t="s">
        <v>289</v>
      </c>
      <c r="C57" s="193" t="s">
        <v>281</v>
      </c>
      <c r="D57" s="296" t="s">
        <v>1296</v>
      </c>
    </row>
    <row r="58" spans="1:4" ht="25.5">
      <c r="A58" s="192" t="s">
        <v>360</v>
      </c>
      <c r="B58" s="192" t="s">
        <v>289</v>
      </c>
      <c r="C58" s="193" t="s">
        <v>1288</v>
      </c>
      <c r="D58" s="296" t="s">
        <v>361</v>
      </c>
    </row>
    <row r="59" spans="1:4" ht="25.5">
      <c r="A59" s="192" t="s">
        <v>362</v>
      </c>
      <c r="B59" s="192" t="s">
        <v>289</v>
      </c>
      <c r="C59" s="193" t="s">
        <v>281</v>
      </c>
      <c r="D59" s="296" t="s">
        <v>363</v>
      </c>
    </row>
    <row r="60" spans="1:4" ht="25.5">
      <c r="A60" s="192" t="s">
        <v>364</v>
      </c>
      <c r="B60" s="192" t="s">
        <v>289</v>
      </c>
      <c r="C60" s="193" t="s">
        <v>1288</v>
      </c>
      <c r="D60" s="296" t="s">
        <v>1295</v>
      </c>
    </row>
    <row r="61" spans="1:4" ht="25.5">
      <c r="A61" s="192" t="s">
        <v>365</v>
      </c>
      <c r="B61" s="192" t="s">
        <v>289</v>
      </c>
      <c r="C61" s="193" t="s">
        <v>1290</v>
      </c>
      <c r="D61" s="296" t="s">
        <v>328</v>
      </c>
    </row>
    <row r="62" spans="1:4">
      <c r="A62" s="297" t="s">
        <v>1302</v>
      </c>
      <c r="B62" s="192"/>
      <c r="C62" s="193"/>
      <c r="D62" s="296"/>
    </row>
    <row r="63" spans="1:4" ht="25.5">
      <c r="A63" s="192" t="s">
        <v>1292</v>
      </c>
      <c r="B63" s="192" t="s">
        <v>289</v>
      </c>
      <c r="C63" s="193" t="s">
        <v>1294</v>
      </c>
      <c r="D63" s="296" t="s">
        <v>328</v>
      </c>
    </row>
    <row r="64" spans="1:4" ht="25.5">
      <c r="A64" s="192" t="s">
        <v>1291</v>
      </c>
      <c r="B64" s="192" t="s">
        <v>289</v>
      </c>
      <c r="C64" s="193" t="s">
        <v>1294</v>
      </c>
      <c r="D64" s="296" t="s">
        <v>328</v>
      </c>
    </row>
    <row r="65" spans="1:4" ht="25.5">
      <c r="A65" s="192" t="s">
        <v>1303</v>
      </c>
      <c r="B65" s="192" t="s">
        <v>289</v>
      </c>
      <c r="C65" s="193" t="s">
        <v>1300</v>
      </c>
      <c r="D65" s="296" t="s">
        <v>328</v>
      </c>
    </row>
    <row r="66" spans="1:4" ht="25.5">
      <c r="A66" s="192" t="s">
        <v>1293</v>
      </c>
      <c r="B66" s="192" t="s">
        <v>289</v>
      </c>
      <c r="C66" s="193" t="s">
        <v>1300</v>
      </c>
      <c r="D66" s="296" t="s">
        <v>328</v>
      </c>
    </row>
    <row r="67" spans="1:4" ht="25.5">
      <c r="A67" s="192" t="s">
        <v>1301</v>
      </c>
      <c r="B67" s="192" t="s">
        <v>289</v>
      </c>
      <c r="C67" s="193" t="s">
        <v>1300</v>
      </c>
      <c r="D67" s="296" t="s">
        <v>328</v>
      </c>
    </row>
    <row r="68" spans="1:4">
      <c r="A68" s="214" t="s">
        <v>272</v>
      </c>
      <c r="B68" s="214" t="s">
        <v>273</v>
      </c>
      <c r="C68" s="214" t="s">
        <v>274</v>
      </c>
      <c r="D68" s="214" t="s">
        <v>275</v>
      </c>
    </row>
    <row r="69" spans="1:4">
      <c r="A69" s="214"/>
      <c r="B69" s="214"/>
      <c r="C69" s="214"/>
      <c r="D69" s="214" t="s">
        <v>276</v>
      </c>
    </row>
    <row r="70" spans="1:4">
      <c r="A70" s="214" t="s">
        <v>366</v>
      </c>
      <c r="B70" s="214"/>
      <c r="C70" s="214"/>
      <c r="D70" s="214"/>
    </row>
    <row r="71" spans="1:4" ht="25.5">
      <c r="A71" s="192" t="s">
        <v>278</v>
      </c>
      <c r="B71" s="192"/>
      <c r="C71" s="193" t="s">
        <v>1299</v>
      </c>
      <c r="D71" s="193"/>
    </row>
    <row r="72" spans="1:4">
      <c r="A72" s="214" t="s">
        <v>367</v>
      </c>
      <c r="B72" s="214"/>
      <c r="C72" s="214"/>
      <c r="D72" s="214"/>
    </row>
    <row r="73" spans="1:4" ht="25.5">
      <c r="A73" s="192" t="s">
        <v>368</v>
      </c>
      <c r="B73" s="192" t="s">
        <v>289</v>
      </c>
      <c r="C73" s="193" t="s">
        <v>369</v>
      </c>
      <c r="D73" s="296" t="s">
        <v>370</v>
      </c>
    </row>
    <row r="74" spans="1:4" ht="25.5">
      <c r="A74" s="192" t="s">
        <v>371</v>
      </c>
      <c r="B74" s="192" t="s">
        <v>289</v>
      </c>
      <c r="C74" s="193" t="s">
        <v>369</v>
      </c>
      <c r="D74" s="296" t="s">
        <v>370</v>
      </c>
    </row>
    <row r="75" spans="1:4" ht="25.5">
      <c r="A75" s="192" t="s">
        <v>1298</v>
      </c>
      <c r="B75" s="192" t="s">
        <v>289</v>
      </c>
      <c r="C75" s="193" t="s">
        <v>369</v>
      </c>
      <c r="D75" s="296" t="s">
        <v>373</v>
      </c>
    </row>
    <row r="76" spans="1:4" ht="25.5">
      <c r="A76" s="192" t="s">
        <v>1297</v>
      </c>
      <c r="B76" s="192" t="s">
        <v>289</v>
      </c>
      <c r="C76" s="193" t="s">
        <v>369</v>
      </c>
      <c r="D76" s="296" t="s">
        <v>374</v>
      </c>
    </row>
    <row r="77" spans="1:4" ht="25.5">
      <c r="A77" s="192" t="s">
        <v>389</v>
      </c>
      <c r="B77" s="192" t="s">
        <v>289</v>
      </c>
      <c r="C77" s="193" t="s">
        <v>369</v>
      </c>
      <c r="D77" s="296" t="s">
        <v>374</v>
      </c>
    </row>
    <row r="78" spans="1:4">
      <c r="A78" s="214" t="s">
        <v>270</v>
      </c>
      <c r="B78" s="214"/>
      <c r="C78" s="214"/>
      <c r="D78" s="214"/>
    </row>
    <row r="79" spans="1:4" ht="25.5">
      <c r="A79" s="192" t="s">
        <v>368</v>
      </c>
      <c r="B79" s="192" t="s">
        <v>289</v>
      </c>
      <c r="C79" s="193" t="s">
        <v>369</v>
      </c>
      <c r="D79" s="296" t="s">
        <v>370</v>
      </c>
    </row>
    <row r="80" spans="1:4" ht="25.5">
      <c r="A80" s="192" t="s">
        <v>371</v>
      </c>
      <c r="B80" s="192" t="s">
        <v>289</v>
      </c>
      <c r="C80" s="193" t="s">
        <v>369</v>
      </c>
      <c r="D80" s="296" t="s">
        <v>370</v>
      </c>
    </row>
    <row r="81" spans="1:4" ht="25.5">
      <c r="A81" s="192" t="s">
        <v>1298</v>
      </c>
      <c r="B81" s="192" t="s">
        <v>289</v>
      </c>
      <c r="C81" s="193" t="s">
        <v>369</v>
      </c>
      <c r="D81" s="296" t="s">
        <v>373</v>
      </c>
    </row>
    <row r="82" spans="1:4" ht="25.5">
      <c r="A82" s="192" t="s">
        <v>1297</v>
      </c>
      <c r="B82" s="192" t="s">
        <v>289</v>
      </c>
      <c r="C82" s="193" t="s">
        <v>369</v>
      </c>
      <c r="D82" s="296" t="s">
        <v>374</v>
      </c>
    </row>
    <row r="83" spans="1:4" ht="25.5">
      <c r="A83" s="192" t="s">
        <v>389</v>
      </c>
      <c r="B83" s="192" t="s">
        <v>289</v>
      </c>
      <c r="C83" s="193" t="s">
        <v>369</v>
      </c>
      <c r="D83" s="296" t="s">
        <v>374</v>
      </c>
    </row>
    <row r="84" spans="1:4">
      <c r="A84" s="214" t="s">
        <v>38</v>
      </c>
      <c r="B84" s="214"/>
      <c r="C84" s="214"/>
      <c r="D84" s="214"/>
    </row>
    <row r="85" spans="1:4" ht="25.5">
      <c r="A85" s="192" t="s">
        <v>368</v>
      </c>
      <c r="B85" s="192" t="s">
        <v>289</v>
      </c>
      <c r="C85" s="193" t="s">
        <v>375</v>
      </c>
      <c r="D85" s="296" t="s">
        <v>370</v>
      </c>
    </row>
    <row r="86" spans="1:4" ht="25.5">
      <c r="A86" s="192" t="s">
        <v>371</v>
      </c>
      <c r="B86" s="192" t="s">
        <v>289</v>
      </c>
      <c r="C86" s="193" t="s">
        <v>375</v>
      </c>
      <c r="D86" s="296" t="s">
        <v>370</v>
      </c>
    </row>
    <row r="87" spans="1:4" ht="25.5">
      <c r="A87" s="192" t="s">
        <v>1298</v>
      </c>
      <c r="B87" s="192" t="s">
        <v>289</v>
      </c>
      <c r="C87" s="193" t="s">
        <v>375</v>
      </c>
      <c r="D87" s="296" t="s">
        <v>373</v>
      </c>
    </row>
  </sheetData>
  <sortState xmlns:xlrd2="http://schemas.microsoft.com/office/spreadsheetml/2017/richdata2" ref="A7:D45">
    <sortCondition ref="A7:A45"/>
  </sortState>
  <mergeCells count="3">
    <mergeCell ref="A5:A6"/>
    <mergeCell ref="A49:A50"/>
    <mergeCell ref="A1:D1"/>
  </mergeCells>
  <pageMargins left="0.7" right="0.7" top="0.75" bottom="0.75" header="0.3" footer="0.3"/>
  <pageSetup paperSize="9" scale="55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 tint="-0.14999847407452621"/>
    <pageSetUpPr fitToPage="1"/>
  </sheetPr>
  <dimension ref="A1:I86"/>
  <sheetViews>
    <sheetView view="pageBreakPreview" zoomScaleNormal="100" zoomScaleSheetLayoutView="100" workbookViewId="0">
      <selection sqref="A1:I1"/>
    </sheetView>
  </sheetViews>
  <sheetFormatPr defaultColWidth="9.140625" defaultRowHeight="18.75" customHeight="1"/>
  <cols>
    <col min="1" max="1" width="9.140625" style="77"/>
    <col min="2" max="2" width="73.28515625" style="2" bestFit="1" customWidth="1"/>
    <col min="3" max="3" width="23.42578125" style="2" customWidth="1"/>
    <col min="4" max="4" width="15.140625" style="2" customWidth="1"/>
    <col min="5" max="9" width="17.7109375" style="2" bestFit="1" customWidth="1"/>
    <col min="10" max="16384" width="9.140625" style="2"/>
  </cols>
  <sheetData>
    <row r="1" spans="1:9" s="9" customFormat="1" ht="26.25" customHeight="1">
      <c r="A1" s="352" t="s">
        <v>180</v>
      </c>
      <c r="B1" s="352"/>
      <c r="C1" s="352"/>
      <c r="D1" s="352"/>
      <c r="E1" s="352"/>
      <c r="F1" s="352"/>
      <c r="G1" s="352"/>
      <c r="H1" s="352"/>
      <c r="I1" s="352"/>
    </row>
    <row r="2" spans="1:9" s="9" customFormat="1" ht="18.75" customHeight="1">
      <c r="A2" s="353" t="s">
        <v>213</v>
      </c>
      <c r="B2" s="335"/>
      <c r="C2" s="335"/>
      <c r="D2" s="335"/>
      <c r="E2" s="335"/>
      <c r="F2" s="335"/>
      <c r="G2" s="335"/>
      <c r="H2" s="335"/>
      <c r="I2" s="354"/>
    </row>
    <row r="3" spans="1:9" s="85" customFormat="1" ht="18.75" customHeight="1">
      <c r="A3" s="84"/>
    </row>
    <row r="4" spans="1:9" s="85" customFormat="1" ht="18.75" customHeight="1">
      <c r="A4" s="85" t="s">
        <v>179</v>
      </c>
    </row>
    <row r="5" spans="1:9" s="85" customFormat="1" ht="18.75" customHeight="1">
      <c r="A5" s="85" t="s">
        <v>181</v>
      </c>
    </row>
    <row r="6" spans="1:9" s="85" customFormat="1" ht="18.75" customHeight="1">
      <c r="A6" s="85" t="s">
        <v>226</v>
      </c>
    </row>
    <row r="7" spans="1:9" s="85" customFormat="1" ht="18.75" customHeight="1">
      <c r="A7" s="84"/>
      <c r="E7" s="348" t="s">
        <v>384</v>
      </c>
      <c r="F7" s="348"/>
      <c r="G7" s="348"/>
      <c r="H7" s="348"/>
      <c r="I7" s="348"/>
    </row>
    <row r="8" spans="1:9" s="31" customFormat="1" ht="26.25" customHeight="1">
      <c r="A8" s="82"/>
      <c r="B8" s="81" t="s">
        <v>182</v>
      </c>
      <c r="C8" s="81" t="s">
        <v>148</v>
      </c>
      <c r="D8" s="33" t="s">
        <v>178</v>
      </c>
      <c r="E8" s="74">
        <v>2023</v>
      </c>
      <c r="F8" s="74">
        <v>2024</v>
      </c>
      <c r="G8" s="74">
        <v>2025</v>
      </c>
      <c r="H8" s="74">
        <v>2026</v>
      </c>
      <c r="I8" s="74">
        <v>2027</v>
      </c>
    </row>
    <row r="9" spans="1:9" ht="18.75" customHeight="1">
      <c r="A9" s="349" t="s">
        <v>196</v>
      </c>
      <c r="B9" s="81" t="s">
        <v>184</v>
      </c>
      <c r="C9" s="81" t="s">
        <v>183</v>
      </c>
      <c r="D9" s="83">
        <v>0</v>
      </c>
      <c r="E9" s="219" t="e">
        <f>InvulRegie[[#This Row],[Prijs excl. BTW]]*Tariefsopbouw!$I$37+InvulRegie[[#This Row],[Prijs excl. BTW]]</f>
        <v>#DIV/0!</v>
      </c>
      <c r="F9" s="219" t="e">
        <f>E9*Tariefsopbouw!$K$37+'Regie en afroep'!E9</f>
        <v>#DIV/0!</v>
      </c>
      <c r="G9" s="219" t="e">
        <f>F9*Tariefsopbouw!$M$37+'Regie en afroep'!F9</f>
        <v>#DIV/0!</v>
      </c>
      <c r="H9" s="219" t="e">
        <f>G9*Tariefsopbouw!$O$37+'Regie en afroep'!G9</f>
        <v>#DIV/0!</v>
      </c>
      <c r="I9" s="219" t="e">
        <f>H9*Tariefsopbouw!$Q$37+H9</f>
        <v>#DIV/0!</v>
      </c>
    </row>
    <row r="10" spans="1:9" ht="18.75" customHeight="1">
      <c r="A10" s="350"/>
      <c r="B10" s="81" t="s">
        <v>185</v>
      </c>
      <c r="C10" s="81" t="s">
        <v>183</v>
      </c>
      <c r="D10" s="83">
        <v>0</v>
      </c>
      <c r="E10" s="220" t="e">
        <f>InvulRegie[[#This Row],[Prijs excl. BTW]]*Tariefsopbouw!$I$37+InvulRegie[[#This Row],[Prijs excl. BTW]]</f>
        <v>#DIV/0!</v>
      </c>
      <c r="F10" s="220" t="e">
        <f>E10*Tariefsopbouw!$K$37+'Regie en afroep'!E10</f>
        <v>#DIV/0!</v>
      </c>
      <c r="G10" s="220" t="e">
        <f>F10*Tariefsopbouw!$M$37+'Regie en afroep'!F10</f>
        <v>#DIV/0!</v>
      </c>
      <c r="H10" s="220" t="e">
        <f>G10*Tariefsopbouw!$O$37+'Regie en afroep'!G10</f>
        <v>#DIV/0!</v>
      </c>
      <c r="I10" s="220" t="e">
        <f>H10*Tariefsopbouw!$Q$37+H10</f>
        <v>#DIV/0!</v>
      </c>
    </row>
    <row r="11" spans="1:9" ht="18.75" customHeight="1">
      <c r="A11" s="350"/>
      <c r="B11" s="80" t="s">
        <v>186</v>
      </c>
      <c r="C11" s="81" t="s">
        <v>183</v>
      </c>
      <c r="D11" s="83">
        <v>0</v>
      </c>
      <c r="E11" s="220" t="e">
        <f>InvulRegie[[#This Row],[Prijs excl. BTW]]*Tariefsopbouw!$I$37+InvulRegie[[#This Row],[Prijs excl. BTW]]</f>
        <v>#DIV/0!</v>
      </c>
      <c r="F11" s="220" t="e">
        <f>E11*Tariefsopbouw!$K$37+'Regie en afroep'!E11</f>
        <v>#DIV/0!</v>
      </c>
      <c r="G11" s="220" t="e">
        <f>F11*Tariefsopbouw!$M$37+'Regie en afroep'!F11</f>
        <v>#DIV/0!</v>
      </c>
      <c r="H11" s="220" t="e">
        <f>G11*Tariefsopbouw!$O$37+'Regie en afroep'!G11</f>
        <v>#DIV/0!</v>
      </c>
      <c r="I11" s="220" t="e">
        <f>H11*Tariefsopbouw!$Q$37+H11</f>
        <v>#DIV/0!</v>
      </c>
    </row>
    <row r="12" spans="1:9" ht="18.75" customHeight="1">
      <c r="A12" s="350"/>
      <c r="B12" s="80" t="s">
        <v>203</v>
      </c>
      <c r="C12" s="81" t="s">
        <v>183</v>
      </c>
      <c r="D12" s="83">
        <v>0</v>
      </c>
      <c r="E12" s="221" t="e">
        <f>InvulRegie[[#This Row],[Prijs excl. BTW]]*Tariefsopbouw!$I$37+InvulRegie[[#This Row],[Prijs excl. BTW]]</f>
        <v>#DIV/0!</v>
      </c>
      <c r="F12" s="221" t="e">
        <f>E12*Tariefsopbouw!$K$37+'Regie en afroep'!E12</f>
        <v>#DIV/0!</v>
      </c>
      <c r="G12" s="221" t="e">
        <f>F12*Tariefsopbouw!$M$37+'Regie en afroep'!F12</f>
        <v>#DIV/0!</v>
      </c>
      <c r="H12" s="221" t="e">
        <f>G12*Tariefsopbouw!$O$37+'Regie en afroep'!G12</f>
        <v>#DIV/0!</v>
      </c>
      <c r="I12" s="221" t="e">
        <f>H12*Tariefsopbouw!$Q$37+H12</f>
        <v>#DIV/0!</v>
      </c>
    </row>
    <row r="13" spans="1:9" ht="18.75" customHeight="1">
      <c r="A13" s="351"/>
      <c r="B13" s="81" t="s">
        <v>192</v>
      </c>
      <c r="C13" s="81" t="s">
        <v>183</v>
      </c>
      <c r="D13" s="83">
        <v>0</v>
      </c>
      <c r="E13" s="220" t="e">
        <f>InvulRegie[[#This Row],[Prijs excl. BTW]]*Tariefsopbouw!$I$37+InvulRegie[[#This Row],[Prijs excl. BTW]]</f>
        <v>#DIV/0!</v>
      </c>
      <c r="F13" s="220" t="e">
        <f>E13*Tariefsopbouw!$K$37+'Regie en afroep'!E13</f>
        <v>#DIV/0!</v>
      </c>
      <c r="G13" s="220" t="e">
        <f>F13*Tariefsopbouw!$M$37+'Regie en afroep'!F13</f>
        <v>#DIV/0!</v>
      </c>
      <c r="H13" s="220" t="e">
        <f>G13*Tariefsopbouw!$O$37+'Regie en afroep'!G13</f>
        <v>#DIV/0!</v>
      </c>
      <c r="I13" s="220" t="e">
        <f>H13*Tariefsopbouw!$Q$37+H13</f>
        <v>#DIV/0!</v>
      </c>
    </row>
    <row r="14" spans="1:9" ht="18.75" customHeight="1">
      <c r="A14" s="349" t="s">
        <v>127</v>
      </c>
      <c r="B14" s="81" t="s">
        <v>42</v>
      </c>
      <c r="C14" s="81" t="s">
        <v>43</v>
      </c>
      <c r="D14" s="83">
        <v>0</v>
      </c>
      <c r="E14" s="221" t="e">
        <f>InvulRegie[[#This Row],[Prijs excl. BTW]]*Tariefsopbouw!$I$37+InvulRegie[[#This Row],[Prijs excl. BTW]]</f>
        <v>#DIV/0!</v>
      </c>
      <c r="F14" s="221" t="e">
        <f>E14*Tariefsopbouw!$K$37+'Regie en afroep'!E14</f>
        <v>#DIV/0!</v>
      </c>
      <c r="G14" s="221" t="e">
        <f>F14*Tariefsopbouw!$M$37+'Regie en afroep'!F14</f>
        <v>#DIV/0!</v>
      </c>
      <c r="H14" s="221" t="e">
        <f>G14*Tariefsopbouw!$O$37+'Regie en afroep'!G14</f>
        <v>#DIV/0!</v>
      </c>
      <c r="I14" s="221" t="e">
        <f>H14*Tariefsopbouw!$Q$37+H14</f>
        <v>#DIV/0!</v>
      </c>
    </row>
    <row r="15" spans="1:9" ht="18.75" customHeight="1">
      <c r="A15" s="350"/>
      <c r="B15" s="81" t="s">
        <v>44</v>
      </c>
      <c r="C15" s="81" t="s">
        <v>187</v>
      </c>
      <c r="D15" s="83">
        <v>0</v>
      </c>
      <c r="E15" s="220" t="e">
        <f>InvulRegie[[#This Row],[Prijs excl. BTW]]*Tariefsopbouw!$I$37+InvulRegie[[#This Row],[Prijs excl. BTW]]</f>
        <v>#DIV/0!</v>
      </c>
      <c r="F15" s="220" t="e">
        <f>E15*Tariefsopbouw!$K$37+'Regie en afroep'!E15</f>
        <v>#DIV/0!</v>
      </c>
      <c r="G15" s="220" t="e">
        <f>F15*Tariefsopbouw!$M$37+'Regie en afroep'!F15</f>
        <v>#DIV/0!</v>
      </c>
      <c r="H15" s="220" t="e">
        <f>G15*Tariefsopbouw!$O$37+'Regie en afroep'!G15</f>
        <v>#DIV/0!</v>
      </c>
      <c r="I15" s="220" t="e">
        <f>H15*Tariefsopbouw!$Q$37+H15</f>
        <v>#DIV/0!</v>
      </c>
    </row>
    <row r="16" spans="1:9" ht="18.75" customHeight="1">
      <c r="A16" s="350"/>
      <c r="B16" s="81" t="s">
        <v>188</v>
      </c>
      <c r="C16" s="81" t="s">
        <v>187</v>
      </c>
      <c r="D16" s="83">
        <v>0</v>
      </c>
      <c r="E16" s="221" t="e">
        <f>InvulRegie[[#This Row],[Prijs excl. BTW]]*Tariefsopbouw!$I$37+InvulRegie[[#This Row],[Prijs excl. BTW]]</f>
        <v>#DIV/0!</v>
      </c>
      <c r="F16" s="221" t="e">
        <f>E16*Tariefsopbouw!$K$37+'Regie en afroep'!E16</f>
        <v>#DIV/0!</v>
      </c>
      <c r="G16" s="221" t="e">
        <f>F16*Tariefsopbouw!$M$37+'Regie en afroep'!F16</f>
        <v>#DIV/0!</v>
      </c>
      <c r="H16" s="221" t="e">
        <f>G16*Tariefsopbouw!$O$37+'Regie en afroep'!G16</f>
        <v>#DIV/0!</v>
      </c>
      <c r="I16" s="221" t="e">
        <f>H16*Tariefsopbouw!$Q$37+H16</f>
        <v>#DIV/0!</v>
      </c>
    </row>
    <row r="17" spans="1:9" ht="18.75" customHeight="1">
      <c r="A17" s="350"/>
      <c r="B17" s="81" t="s">
        <v>189</v>
      </c>
      <c r="C17" s="81" t="s">
        <v>45</v>
      </c>
      <c r="D17" s="83">
        <v>0</v>
      </c>
      <c r="E17" s="220" t="e">
        <f>InvulRegie[[#This Row],[Prijs excl. BTW]]*Tariefsopbouw!$I$37+InvulRegie[[#This Row],[Prijs excl. BTW]]</f>
        <v>#DIV/0!</v>
      </c>
      <c r="F17" s="220" t="e">
        <f>E17*Tariefsopbouw!$K$37+'Regie en afroep'!E17</f>
        <v>#DIV/0!</v>
      </c>
      <c r="G17" s="220" t="e">
        <f>F17*Tariefsopbouw!$M$37+'Regie en afroep'!F17</f>
        <v>#DIV/0!</v>
      </c>
      <c r="H17" s="220" t="e">
        <f>G17*Tariefsopbouw!$O$37+'Regie en afroep'!G17</f>
        <v>#DIV/0!</v>
      </c>
      <c r="I17" s="220" t="e">
        <f>H17*Tariefsopbouw!$Q$37+H17</f>
        <v>#DIV/0!</v>
      </c>
    </row>
    <row r="18" spans="1:9" ht="18.75" customHeight="1">
      <c r="A18" s="350"/>
      <c r="B18" s="81" t="s">
        <v>248</v>
      </c>
      <c r="C18" s="81" t="s">
        <v>45</v>
      </c>
      <c r="D18" s="83">
        <v>0</v>
      </c>
      <c r="E18" s="221" t="e">
        <f>InvulRegie[[#This Row],[Prijs excl. BTW]]*Tariefsopbouw!$I$37+InvulRegie[[#This Row],[Prijs excl. BTW]]</f>
        <v>#DIV/0!</v>
      </c>
      <c r="F18" s="221" t="e">
        <f>E18*Tariefsopbouw!$K$37+'Regie en afroep'!E18</f>
        <v>#DIV/0!</v>
      </c>
      <c r="G18" s="221" t="e">
        <f>F18*Tariefsopbouw!$M$37+'Regie en afroep'!F18</f>
        <v>#DIV/0!</v>
      </c>
      <c r="H18" s="221" t="e">
        <f>G18*Tariefsopbouw!$O$37+'Regie en afroep'!G18</f>
        <v>#DIV/0!</v>
      </c>
      <c r="I18" s="221" t="e">
        <f>H18*Tariefsopbouw!$Q$37+H18</f>
        <v>#DIV/0!</v>
      </c>
    </row>
    <row r="19" spans="1:9" ht="18.75" customHeight="1">
      <c r="A19" s="350"/>
      <c r="B19" s="81" t="s">
        <v>190</v>
      </c>
      <c r="C19" s="81" t="s">
        <v>45</v>
      </c>
      <c r="D19" s="83">
        <v>0</v>
      </c>
      <c r="E19" s="220" t="e">
        <f>InvulRegie[[#This Row],[Prijs excl. BTW]]*Tariefsopbouw!$I$37+InvulRegie[[#This Row],[Prijs excl. BTW]]</f>
        <v>#DIV/0!</v>
      </c>
      <c r="F19" s="220" t="e">
        <f>E19*Tariefsopbouw!$K$37+'Regie en afroep'!E19</f>
        <v>#DIV/0!</v>
      </c>
      <c r="G19" s="220" t="e">
        <f>F19*Tariefsopbouw!$M$37+'Regie en afroep'!F19</f>
        <v>#DIV/0!</v>
      </c>
      <c r="H19" s="220" t="e">
        <f>G19*Tariefsopbouw!$O$37+'Regie en afroep'!G19</f>
        <v>#DIV/0!</v>
      </c>
      <c r="I19" s="220" t="e">
        <f>H19*Tariefsopbouw!$Q$37+H19</f>
        <v>#DIV/0!</v>
      </c>
    </row>
    <row r="20" spans="1:9" ht="18.75" customHeight="1">
      <c r="A20" s="351"/>
      <c r="B20" s="81" t="s">
        <v>191</v>
      </c>
      <c r="C20" s="81" t="s">
        <v>45</v>
      </c>
      <c r="D20" s="83">
        <v>0</v>
      </c>
      <c r="E20" s="221" t="e">
        <f>InvulRegie[[#This Row],[Prijs excl. BTW]]*Tariefsopbouw!$I$37+InvulRegie[[#This Row],[Prijs excl. BTW]]</f>
        <v>#DIV/0!</v>
      </c>
      <c r="F20" s="221" t="e">
        <f>E20*Tariefsopbouw!$K$37+'Regie en afroep'!E20</f>
        <v>#DIV/0!</v>
      </c>
      <c r="G20" s="221" t="e">
        <f>F20*Tariefsopbouw!$M$37+'Regie en afroep'!F20</f>
        <v>#DIV/0!</v>
      </c>
      <c r="H20" s="221" t="e">
        <f>G20*Tariefsopbouw!$O$37+'Regie en afroep'!G20</f>
        <v>#DIV/0!</v>
      </c>
      <c r="I20" s="221" t="e">
        <f>H20*Tariefsopbouw!$Q$37+H20</f>
        <v>#DIV/0!</v>
      </c>
    </row>
    <row r="21" spans="1:9" ht="18.75" customHeight="1">
      <c r="A21" s="349" t="s">
        <v>193</v>
      </c>
      <c r="B21" s="81" t="s">
        <v>58</v>
      </c>
      <c r="C21" s="81" t="s">
        <v>50</v>
      </c>
      <c r="D21" s="83">
        <v>0</v>
      </c>
      <c r="E21" s="220" t="e">
        <f>InvulRegie[[#This Row],[Prijs excl. BTW]]*Tariefsopbouw!$I$37+InvulRegie[[#This Row],[Prijs excl. BTW]]</f>
        <v>#DIV/0!</v>
      </c>
      <c r="F21" s="220" t="e">
        <f>E21*Tariefsopbouw!$K$37+'Regie en afroep'!E21</f>
        <v>#DIV/0!</v>
      </c>
      <c r="G21" s="220" t="e">
        <f>F21*Tariefsopbouw!$M$37+'Regie en afroep'!F21</f>
        <v>#DIV/0!</v>
      </c>
      <c r="H21" s="220" t="e">
        <f>G21*Tariefsopbouw!$O$37+'Regie en afroep'!G21</f>
        <v>#DIV/0!</v>
      </c>
      <c r="I21" s="220" t="e">
        <f>H21*Tariefsopbouw!$Q$37+H21</f>
        <v>#DIV/0!</v>
      </c>
    </row>
    <row r="22" spans="1:9" ht="18.75" customHeight="1">
      <c r="A22" s="350"/>
      <c r="B22" s="81" t="s">
        <v>46</v>
      </c>
      <c r="C22" s="81" t="s">
        <v>71</v>
      </c>
      <c r="D22" s="83">
        <v>0</v>
      </c>
      <c r="E22" s="221" t="e">
        <f>InvulRegie[[#This Row],[Prijs excl. BTW]]*Tariefsopbouw!$I$37+InvulRegie[[#This Row],[Prijs excl. BTW]]</f>
        <v>#DIV/0!</v>
      </c>
      <c r="F22" s="221" t="e">
        <f>E22*Tariefsopbouw!$K$37+'Regie en afroep'!E22</f>
        <v>#DIV/0!</v>
      </c>
      <c r="G22" s="221" t="e">
        <f>F22*Tariefsopbouw!$M$37+'Regie en afroep'!F22</f>
        <v>#DIV/0!</v>
      </c>
      <c r="H22" s="221" t="e">
        <f>G22*Tariefsopbouw!$O$37+'Regie en afroep'!G22</f>
        <v>#DIV/0!</v>
      </c>
      <c r="I22" s="221" t="e">
        <f>H22*Tariefsopbouw!$Q$37+H22</f>
        <v>#DIV/0!</v>
      </c>
    </row>
    <row r="23" spans="1:9" ht="18.75" customHeight="1">
      <c r="A23" s="350"/>
      <c r="B23" s="81" t="s">
        <v>1395</v>
      </c>
      <c r="C23" s="81" t="s">
        <v>50</v>
      </c>
      <c r="D23" s="83">
        <v>0</v>
      </c>
      <c r="E23" s="221" t="e">
        <f>InvulRegie[[#This Row],[Prijs excl. BTW]]*Tariefsopbouw!$I$37+InvulRegie[[#This Row],[Prijs excl. BTW]]</f>
        <v>#DIV/0!</v>
      </c>
      <c r="F23" s="221" t="e">
        <f>E23*Tariefsopbouw!$K$37+'Regie en afroep'!E23</f>
        <v>#DIV/0!</v>
      </c>
      <c r="G23" s="221" t="e">
        <f>F23*Tariefsopbouw!$M$37+'Regie en afroep'!F23</f>
        <v>#DIV/0!</v>
      </c>
      <c r="H23" s="221" t="e">
        <f>G23*Tariefsopbouw!$O$37+'Regie en afroep'!G23</f>
        <v>#DIV/0!</v>
      </c>
      <c r="I23" s="221" t="e">
        <f>H23*Tariefsopbouw!$Q$37+H23</f>
        <v>#DIV/0!</v>
      </c>
    </row>
    <row r="24" spans="1:9" ht="22.5">
      <c r="A24" s="351"/>
      <c r="B24" s="81" t="s">
        <v>1396</v>
      </c>
      <c r="C24" s="81" t="s">
        <v>1397</v>
      </c>
      <c r="D24" s="83">
        <v>0</v>
      </c>
      <c r="E24" s="221" t="e">
        <f>InvulRegie[[#This Row],[Prijs excl. BTW]]*Tariefsopbouw!$I$37+InvulRegie[[#This Row],[Prijs excl. BTW]]</f>
        <v>#DIV/0!</v>
      </c>
      <c r="F24" s="221" t="e">
        <f>E24*Tariefsopbouw!$K$37+'Regie en afroep'!E24</f>
        <v>#DIV/0!</v>
      </c>
      <c r="G24" s="221" t="e">
        <f>F24*Tariefsopbouw!$M$37+'Regie en afroep'!F24</f>
        <v>#DIV/0!</v>
      </c>
      <c r="H24" s="221" t="e">
        <f>G24*Tariefsopbouw!$O$37+'Regie en afroep'!G24</f>
        <v>#DIV/0!</v>
      </c>
      <c r="I24" s="221" t="e">
        <f>H24*Tariefsopbouw!$Q$37+H24</f>
        <v>#DIV/0!</v>
      </c>
    </row>
    <row r="25" spans="1:9" ht="18.75" customHeight="1">
      <c r="A25" s="349" t="s">
        <v>204</v>
      </c>
      <c r="B25" s="81" t="s">
        <v>194</v>
      </c>
      <c r="C25" s="81" t="s">
        <v>195</v>
      </c>
      <c r="D25" s="83">
        <v>0</v>
      </c>
      <c r="E25" s="220" t="e">
        <f>InvulRegie[[#This Row],[Prijs excl. BTW]]*Tariefsopbouw!$I$37+InvulRegie[[#This Row],[Prijs excl. BTW]]</f>
        <v>#DIV/0!</v>
      </c>
      <c r="F25" s="220" t="e">
        <f>E25*Tariefsopbouw!$K$37+'Regie en afroep'!E25</f>
        <v>#DIV/0!</v>
      </c>
      <c r="G25" s="220" t="e">
        <f>F25*Tariefsopbouw!$M$37+'Regie en afroep'!F25</f>
        <v>#DIV/0!</v>
      </c>
      <c r="H25" s="220" t="e">
        <f>G25*Tariefsopbouw!$O$37+'Regie en afroep'!G25</f>
        <v>#DIV/0!</v>
      </c>
      <c r="I25" s="220" t="e">
        <f>H25*Tariefsopbouw!$Q$37+H25</f>
        <v>#DIV/0!</v>
      </c>
    </row>
    <row r="26" spans="1:9" ht="18.75" customHeight="1">
      <c r="A26" s="350"/>
      <c r="B26" s="81" t="s">
        <v>241</v>
      </c>
      <c r="C26" s="81" t="s">
        <v>195</v>
      </c>
      <c r="D26" s="83">
        <v>0</v>
      </c>
      <c r="E26" s="221" t="e">
        <f>InvulRegie[[#This Row],[Prijs excl. BTW]]*Tariefsopbouw!$I$37+InvulRegie[[#This Row],[Prijs excl. BTW]]</f>
        <v>#DIV/0!</v>
      </c>
      <c r="F26" s="221" t="e">
        <f>E26*Tariefsopbouw!$K$37+'Regie en afroep'!E26</f>
        <v>#DIV/0!</v>
      </c>
      <c r="G26" s="221" t="e">
        <f>F26*Tariefsopbouw!$M$37+'Regie en afroep'!F26</f>
        <v>#DIV/0!</v>
      </c>
      <c r="H26" s="221" t="e">
        <f>G26*Tariefsopbouw!$O$37+'Regie en afroep'!G26</f>
        <v>#DIV/0!</v>
      </c>
      <c r="I26" s="221" t="e">
        <f>H26*Tariefsopbouw!$Q$37+H26</f>
        <v>#DIV/0!</v>
      </c>
    </row>
    <row r="27" spans="1:9" ht="18.75" customHeight="1">
      <c r="A27" s="350"/>
      <c r="B27" s="81" t="s">
        <v>243</v>
      </c>
      <c r="C27" s="81" t="s">
        <v>195</v>
      </c>
      <c r="D27" s="83">
        <v>0</v>
      </c>
      <c r="E27" s="220" t="e">
        <f>InvulRegie[[#This Row],[Prijs excl. BTW]]*Tariefsopbouw!$I$37+InvulRegie[[#This Row],[Prijs excl. BTW]]</f>
        <v>#DIV/0!</v>
      </c>
      <c r="F27" s="220" t="e">
        <f>E27*Tariefsopbouw!$K$37+'Regie en afroep'!E27</f>
        <v>#DIV/0!</v>
      </c>
      <c r="G27" s="220" t="e">
        <f>F27*Tariefsopbouw!$M$37+'Regie en afroep'!F27</f>
        <v>#DIV/0!</v>
      </c>
      <c r="H27" s="220" t="e">
        <f>G27*Tariefsopbouw!$O$37+'Regie en afroep'!G27</f>
        <v>#DIV/0!</v>
      </c>
      <c r="I27" s="220" t="e">
        <f>H27*Tariefsopbouw!$Q$37+H27</f>
        <v>#DIV/0!</v>
      </c>
    </row>
    <row r="28" spans="1:9" ht="18.75" customHeight="1">
      <c r="A28" s="350"/>
      <c r="B28" s="81" t="s">
        <v>242</v>
      </c>
      <c r="C28" s="81" t="s">
        <v>195</v>
      </c>
      <c r="D28" s="83">
        <v>0</v>
      </c>
      <c r="E28" s="221" t="e">
        <f>InvulRegie[[#This Row],[Prijs excl. BTW]]*Tariefsopbouw!$I$37+InvulRegie[[#This Row],[Prijs excl. BTW]]</f>
        <v>#DIV/0!</v>
      </c>
      <c r="F28" s="221" t="e">
        <f>E28*Tariefsopbouw!$K$37+'Regie en afroep'!E28</f>
        <v>#DIV/0!</v>
      </c>
      <c r="G28" s="221" t="e">
        <f>F28*Tariefsopbouw!$M$37+'Regie en afroep'!F28</f>
        <v>#DIV/0!</v>
      </c>
      <c r="H28" s="221" t="e">
        <f>G28*Tariefsopbouw!$O$37+'Regie en afroep'!G28</f>
        <v>#DIV/0!</v>
      </c>
      <c r="I28" s="221" t="e">
        <f>H28*Tariefsopbouw!$Q$37+H28</f>
        <v>#DIV/0!</v>
      </c>
    </row>
    <row r="29" spans="1:9" ht="18.75" customHeight="1">
      <c r="A29" s="351"/>
      <c r="B29" s="81" t="s">
        <v>49</v>
      </c>
      <c r="C29" s="81" t="s">
        <v>195</v>
      </c>
      <c r="D29" s="83">
        <v>0</v>
      </c>
      <c r="E29" s="220" t="e">
        <f>InvulRegie[[#This Row],[Prijs excl. BTW]]*Tariefsopbouw!$I$37+InvulRegie[[#This Row],[Prijs excl. BTW]]</f>
        <v>#DIV/0!</v>
      </c>
      <c r="F29" s="220" t="e">
        <f>E29*Tariefsopbouw!$K$37+'Regie en afroep'!E29</f>
        <v>#DIV/0!</v>
      </c>
      <c r="G29" s="220" t="e">
        <f>F29*Tariefsopbouw!$M$37+'Regie en afroep'!F29</f>
        <v>#DIV/0!</v>
      </c>
      <c r="H29" s="220" t="e">
        <f>G29*Tariefsopbouw!$O$37+'Regie en afroep'!G29</f>
        <v>#DIV/0!</v>
      </c>
      <c r="I29" s="220" t="e">
        <f>H29*Tariefsopbouw!$Q$37+H29</f>
        <v>#DIV/0!</v>
      </c>
    </row>
    <row r="30" spans="1:9" ht="18.75" customHeight="1">
      <c r="A30" s="349" t="s">
        <v>199</v>
      </c>
      <c r="B30" s="81" t="s">
        <v>51</v>
      </c>
      <c r="C30" s="81" t="s">
        <v>50</v>
      </c>
      <c r="D30" s="83">
        <v>0</v>
      </c>
      <c r="E30" s="221" t="e">
        <f>InvulRegie[[#This Row],[Prijs excl. BTW]]*Tariefsopbouw!$I$37+InvulRegie[[#This Row],[Prijs excl. BTW]]</f>
        <v>#DIV/0!</v>
      </c>
      <c r="F30" s="221" t="e">
        <f>E30*Tariefsopbouw!$K$37+'Regie en afroep'!E30</f>
        <v>#DIV/0!</v>
      </c>
      <c r="G30" s="221" t="e">
        <f>F30*Tariefsopbouw!$M$37+'Regie en afroep'!F30</f>
        <v>#DIV/0!</v>
      </c>
      <c r="H30" s="221" t="e">
        <f>G30*Tariefsopbouw!$O$37+'Regie en afroep'!G30</f>
        <v>#DIV/0!</v>
      </c>
      <c r="I30" s="221" t="e">
        <f>H30*Tariefsopbouw!$Q$37+H30</f>
        <v>#DIV/0!</v>
      </c>
    </row>
    <row r="31" spans="1:9" ht="18.75" customHeight="1">
      <c r="A31" s="350"/>
      <c r="B31" s="81" t="s">
        <v>52</v>
      </c>
      <c r="C31" s="81" t="s">
        <v>50</v>
      </c>
      <c r="D31" s="83">
        <v>0</v>
      </c>
      <c r="E31" s="220" t="e">
        <f>InvulRegie[[#This Row],[Prijs excl. BTW]]*Tariefsopbouw!$I$37+InvulRegie[[#This Row],[Prijs excl. BTW]]</f>
        <v>#DIV/0!</v>
      </c>
      <c r="F31" s="220" t="e">
        <f>E31*Tariefsopbouw!$K$37+'Regie en afroep'!E31</f>
        <v>#DIV/0!</v>
      </c>
      <c r="G31" s="220" t="e">
        <f>F31*Tariefsopbouw!$M$37+'Regie en afroep'!F31</f>
        <v>#DIV/0!</v>
      </c>
      <c r="H31" s="220" t="e">
        <f>G31*Tariefsopbouw!$O$37+'Regie en afroep'!G31</f>
        <v>#DIV/0!</v>
      </c>
      <c r="I31" s="220" t="e">
        <f>H31*Tariefsopbouw!$Q$37+H31</f>
        <v>#DIV/0!</v>
      </c>
    </row>
    <row r="32" spans="1:9" ht="18.75" customHeight="1">
      <c r="A32" s="350"/>
      <c r="B32" s="81" t="s">
        <v>53</v>
      </c>
      <c r="C32" s="81" t="s">
        <v>50</v>
      </c>
      <c r="D32" s="83">
        <v>0</v>
      </c>
      <c r="E32" s="221" t="e">
        <f>InvulRegie[[#This Row],[Prijs excl. BTW]]*Tariefsopbouw!$I$37+InvulRegie[[#This Row],[Prijs excl. BTW]]</f>
        <v>#DIV/0!</v>
      </c>
      <c r="F32" s="221" t="e">
        <f>E32*Tariefsopbouw!$K$37+'Regie en afroep'!E32</f>
        <v>#DIV/0!</v>
      </c>
      <c r="G32" s="221" t="e">
        <f>F32*Tariefsopbouw!$M$37+'Regie en afroep'!F32</f>
        <v>#DIV/0!</v>
      </c>
      <c r="H32" s="221" t="e">
        <f>G32*Tariefsopbouw!$O$37+'Regie en afroep'!G32</f>
        <v>#DIV/0!</v>
      </c>
      <c r="I32" s="221" t="e">
        <f>H32*Tariefsopbouw!$Q$37+H32</f>
        <v>#DIV/0!</v>
      </c>
    </row>
    <row r="33" spans="1:9" ht="18.75" customHeight="1">
      <c r="A33" s="350"/>
      <c r="B33" s="81" t="s">
        <v>54</v>
      </c>
      <c r="C33" s="81" t="s">
        <v>50</v>
      </c>
      <c r="D33" s="83">
        <v>0</v>
      </c>
      <c r="E33" s="220" t="e">
        <f>InvulRegie[[#This Row],[Prijs excl. BTW]]*Tariefsopbouw!$I$37+InvulRegie[[#This Row],[Prijs excl. BTW]]</f>
        <v>#DIV/0!</v>
      </c>
      <c r="F33" s="220" t="e">
        <f>E33*Tariefsopbouw!$K$37+'Regie en afroep'!E33</f>
        <v>#DIV/0!</v>
      </c>
      <c r="G33" s="220" t="e">
        <f>F33*Tariefsopbouw!$M$37+'Regie en afroep'!F33</f>
        <v>#DIV/0!</v>
      </c>
      <c r="H33" s="220" t="e">
        <f>G33*Tariefsopbouw!$O$37+'Regie en afroep'!G33</f>
        <v>#DIV/0!</v>
      </c>
      <c r="I33" s="220" t="e">
        <f>H33*Tariefsopbouw!$Q$37+H33</f>
        <v>#DIV/0!</v>
      </c>
    </row>
    <row r="34" spans="1:9" ht="18.75" customHeight="1">
      <c r="A34" s="351"/>
      <c r="B34" s="81" t="s">
        <v>47</v>
      </c>
      <c r="C34" s="81" t="s">
        <v>48</v>
      </c>
      <c r="D34" s="83">
        <v>0</v>
      </c>
      <c r="E34" s="221" t="e">
        <f>InvulRegie[[#This Row],[Prijs excl. BTW]]*Tariefsopbouw!$I$37+InvulRegie[[#This Row],[Prijs excl. BTW]]</f>
        <v>#DIV/0!</v>
      </c>
      <c r="F34" s="221" t="e">
        <f>E34*Tariefsopbouw!$K$37+'Regie en afroep'!E34</f>
        <v>#DIV/0!</v>
      </c>
      <c r="G34" s="221" t="e">
        <f>F34*Tariefsopbouw!$M$37+'Regie en afroep'!F34</f>
        <v>#DIV/0!</v>
      </c>
      <c r="H34" s="221" t="e">
        <f>G34*Tariefsopbouw!$O$37+'Regie en afroep'!G34</f>
        <v>#DIV/0!</v>
      </c>
      <c r="I34" s="221" t="e">
        <f>H34*Tariefsopbouw!$Q$37+H34</f>
        <v>#DIV/0!</v>
      </c>
    </row>
    <row r="35" spans="1:9" ht="18.75" customHeight="1">
      <c r="A35" s="355" t="s">
        <v>200</v>
      </c>
      <c r="B35" s="81" t="s">
        <v>55</v>
      </c>
      <c r="C35" s="81" t="s">
        <v>225</v>
      </c>
      <c r="D35" s="83">
        <v>0</v>
      </c>
      <c r="E35" s="220" t="e">
        <f>InvulRegie[[#This Row],[Prijs excl. BTW]]*Tariefsopbouw!$I$37+InvulRegie[[#This Row],[Prijs excl. BTW]]</f>
        <v>#DIV/0!</v>
      </c>
      <c r="F35" s="220" t="e">
        <f>E35*Tariefsopbouw!$K$37+'Regie en afroep'!E35</f>
        <v>#DIV/0!</v>
      </c>
      <c r="G35" s="220" t="e">
        <f>F35*Tariefsopbouw!$M$37+'Regie en afroep'!F35</f>
        <v>#DIV/0!</v>
      </c>
      <c r="H35" s="220" t="e">
        <f>G35*Tariefsopbouw!$O$37+'Regie en afroep'!G35</f>
        <v>#DIV/0!</v>
      </c>
      <c r="I35" s="220" t="e">
        <f>H35*Tariefsopbouw!$Q$37+H35</f>
        <v>#DIV/0!</v>
      </c>
    </row>
    <row r="36" spans="1:9" ht="18.75" customHeight="1">
      <c r="A36" s="356"/>
      <c r="B36" s="81" t="s">
        <v>56</v>
      </c>
      <c r="C36" s="81" t="s">
        <v>57</v>
      </c>
      <c r="D36" s="83">
        <v>0</v>
      </c>
      <c r="E36" s="221" t="e">
        <f>InvulRegie[[#This Row],[Prijs excl. BTW]]*Tariefsopbouw!$I$37+InvulRegie[[#This Row],[Prijs excl. BTW]]</f>
        <v>#DIV/0!</v>
      </c>
      <c r="F36" s="221" t="e">
        <f>E36*Tariefsopbouw!$K$37+'Regie en afroep'!E36</f>
        <v>#DIV/0!</v>
      </c>
      <c r="G36" s="221" t="e">
        <f>F36*Tariefsopbouw!$M$37+'Regie en afroep'!F36</f>
        <v>#DIV/0!</v>
      </c>
      <c r="H36" s="221" t="e">
        <f>G36*Tariefsopbouw!$O$37+'Regie en afroep'!G36</f>
        <v>#DIV/0!</v>
      </c>
      <c r="I36" s="221" t="e">
        <f>H36*Tariefsopbouw!$Q$37+H36</f>
        <v>#DIV/0!</v>
      </c>
    </row>
    <row r="37" spans="1:9" ht="18.75" customHeight="1">
      <c r="A37" s="356"/>
      <c r="B37" s="81" t="s">
        <v>201</v>
      </c>
      <c r="C37" s="81" t="s">
        <v>57</v>
      </c>
      <c r="D37" s="83">
        <v>0</v>
      </c>
      <c r="E37" s="220" t="e">
        <f>InvulRegie[[#This Row],[Prijs excl. BTW]]*Tariefsopbouw!$I$37+InvulRegie[[#This Row],[Prijs excl. BTW]]</f>
        <v>#DIV/0!</v>
      </c>
      <c r="F37" s="220" t="e">
        <f>E37*Tariefsopbouw!$K$37+'Regie en afroep'!E37</f>
        <v>#DIV/0!</v>
      </c>
      <c r="G37" s="220" t="e">
        <f>F37*Tariefsopbouw!$M$37+'Regie en afroep'!F37</f>
        <v>#DIV/0!</v>
      </c>
      <c r="H37" s="220" t="e">
        <f>G37*Tariefsopbouw!$O$37+'Regie en afroep'!G37</f>
        <v>#DIV/0!</v>
      </c>
      <c r="I37" s="220" t="e">
        <f>H37*Tariefsopbouw!$Q$37+H37</f>
        <v>#DIV/0!</v>
      </c>
    </row>
    <row r="38" spans="1:9" ht="18.75" customHeight="1" thickBot="1">
      <c r="A38" s="357"/>
      <c r="B38" s="81" t="s">
        <v>202</v>
      </c>
      <c r="C38" s="81" t="s">
        <v>57</v>
      </c>
      <c r="D38" s="83">
        <v>0</v>
      </c>
      <c r="E38" s="221" t="e">
        <f>InvulRegie[[#This Row],[Prijs excl. BTW]]*Tariefsopbouw!$I$37+InvulRegie[[#This Row],[Prijs excl. BTW]]</f>
        <v>#DIV/0!</v>
      </c>
      <c r="F38" s="221" t="e">
        <f>E38*Tariefsopbouw!$K$37+'Regie en afroep'!E38</f>
        <v>#DIV/0!</v>
      </c>
      <c r="G38" s="221" t="e">
        <f>F38*Tariefsopbouw!$M$37+'Regie en afroep'!F38</f>
        <v>#DIV/0!</v>
      </c>
      <c r="H38" s="221" t="e">
        <f>G38*Tariefsopbouw!$O$37+'Regie en afroep'!G38</f>
        <v>#DIV/0!</v>
      </c>
      <c r="I38" s="221" t="e">
        <f>H38*Tariefsopbouw!$Q$37+H38</f>
        <v>#DIV/0!</v>
      </c>
    </row>
    <row r="39" spans="1:9" s="142" customFormat="1" ht="26.25" customHeight="1" thickTop="1">
      <c r="A39" s="140"/>
      <c r="B39" s="141" t="s">
        <v>33</v>
      </c>
      <c r="C39" s="141"/>
      <c r="D39" s="141"/>
      <c r="E39" s="218"/>
      <c r="F39" s="218"/>
      <c r="G39" s="218"/>
      <c r="H39" s="218"/>
      <c r="I39" s="218"/>
    </row>
    <row r="74" spans="1:1" ht="18.75" customHeight="1">
      <c r="A74" s="78"/>
    </row>
    <row r="75" spans="1:1" ht="18.75" customHeight="1">
      <c r="A75" s="78"/>
    </row>
    <row r="76" spans="1:1" ht="18.75" customHeight="1">
      <c r="A76" s="78"/>
    </row>
    <row r="77" spans="1:1" ht="18.75" customHeight="1">
      <c r="A77" s="78"/>
    </row>
    <row r="78" spans="1:1" ht="18.75" customHeight="1">
      <c r="A78" s="78"/>
    </row>
    <row r="79" spans="1:1" ht="18.75" customHeight="1">
      <c r="A79" s="78"/>
    </row>
    <row r="80" spans="1:1" ht="18.75" customHeight="1">
      <c r="A80" s="78"/>
    </row>
    <row r="81" spans="1:1" ht="18.75" customHeight="1">
      <c r="A81" s="78"/>
    </row>
    <row r="82" spans="1:1" ht="18.75" customHeight="1">
      <c r="A82" s="78"/>
    </row>
    <row r="83" spans="1:1" ht="18.75" customHeight="1">
      <c r="A83" s="78"/>
    </row>
    <row r="84" spans="1:1" ht="18.75" customHeight="1">
      <c r="A84" s="78"/>
    </row>
    <row r="85" spans="1:1" ht="18.75" customHeight="1">
      <c r="A85" s="78"/>
    </row>
    <row r="86" spans="1:1" ht="18.75" customHeight="1">
      <c r="A86" s="78"/>
    </row>
  </sheetData>
  <mergeCells count="9">
    <mergeCell ref="A30:A34"/>
    <mergeCell ref="A1:I1"/>
    <mergeCell ref="A2:I2"/>
    <mergeCell ref="A35:A38"/>
    <mergeCell ref="A25:A29"/>
    <mergeCell ref="A14:A20"/>
    <mergeCell ref="A21:A24"/>
    <mergeCell ref="E7:I7"/>
    <mergeCell ref="A9:A13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scale="63" fitToHeight="0" orientation="landscape" r:id="rId1"/>
  <headerFooter alignWithMargins="0">
    <oddFooter>&amp;L&amp;F&amp;C&amp;D&amp;R&amp;A</oddFooter>
  </headerFooter>
  <rowBreaks count="1" manualBreakCount="1">
    <brk id="88" max="16383" man="1"/>
  </rowBreak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Blad61">
    <tabColor theme="0" tint="-0.14999847407452621"/>
    <pageSetUpPr fitToPage="1"/>
  </sheetPr>
  <dimension ref="A1:H33"/>
  <sheetViews>
    <sheetView showGridLines="0" view="pageBreakPreview" zoomScaleNormal="100" zoomScaleSheetLayoutView="100" workbookViewId="0">
      <selection sqref="A1:H1"/>
    </sheetView>
  </sheetViews>
  <sheetFormatPr defaultColWidth="9.140625" defaultRowHeight="18.75" customHeight="1"/>
  <cols>
    <col min="1" max="1" width="13.7109375" style="3" customWidth="1"/>
    <col min="2" max="2" width="30.140625" style="137" customWidth="1"/>
    <col min="3" max="5" width="23.28515625" style="3" customWidth="1"/>
    <col min="6" max="6" width="26.28515625" style="3" customWidth="1"/>
    <col min="7" max="8" width="23.28515625" style="3" customWidth="1"/>
    <col min="9" max="11" width="15.85546875" style="3" customWidth="1"/>
    <col min="12" max="16384" width="9.140625" style="3"/>
  </cols>
  <sheetData>
    <row r="1" spans="1:8" s="9" customFormat="1" ht="17.25" customHeight="1">
      <c r="A1" s="308" t="s">
        <v>215</v>
      </c>
      <c r="B1" s="308"/>
      <c r="C1" s="308"/>
      <c r="D1" s="308"/>
      <c r="E1" s="308"/>
      <c r="F1" s="308"/>
      <c r="G1" s="308"/>
      <c r="H1" s="308"/>
    </row>
    <row r="2" spans="1:8" s="9" customFormat="1" ht="15" customHeight="1">
      <c r="A2" s="347" t="s">
        <v>227</v>
      </c>
      <c r="B2" s="310"/>
      <c r="C2" s="310"/>
      <c r="D2" s="310"/>
      <c r="E2" s="310"/>
      <c r="F2" s="310"/>
      <c r="G2" s="310"/>
      <c r="H2" s="310"/>
    </row>
    <row r="3" spans="1:8" s="4" customFormat="1" ht="11.25">
      <c r="B3" s="21"/>
    </row>
    <row r="4" spans="1:8" ht="11.25">
      <c r="A4" s="137"/>
      <c r="B4" s="3"/>
    </row>
    <row r="5" spans="1:8" ht="11.25">
      <c r="A5" s="93" t="s">
        <v>224</v>
      </c>
      <c r="B5" s="3"/>
    </row>
    <row r="6" spans="1:8" s="43" customFormat="1" ht="25.5" customHeight="1">
      <c r="A6" s="133" t="s">
        <v>208</v>
      </c>
      <c r="B6" s="134" t="s">
        <v>142</v>
      </c>
      <c r="C6" s="133" t="s">
        <v>169</v>
      </c>
      <c r="D6" s="135" t="s">
        <v>124</v>
      </c>
      <c r="E6" s="135" t="s">
        <v>170</v>
      </c>
      <c r="F6" s="133" t="s">
        <v>123</v>
      </c>
      <c r="G6" s="136" t="s">
        <v>171</v>
      </c>
      <c r="H6" s="44" t="s">
        <v>172</v>
      </c>
    </row>
    <row r="7" spans="1:8" ht="18.75" customHeight="1">
      <c r="A7" s="178">
        <v>1</v>
      </c>
      <c r="B7" s="179" t="str">
        <f>VLOOKUP(Samenvattingschoonmaak[[#This Row],[Code Locatie]],Locaties[],2,0)</f>
        <v>Praktijkonderwijs</v>
      </c>
      <c r="C7" s="180">
        <f>SUMIF('Ruimtestaat'!$A:$A,Totalisatie!$A7,'Ruimtestaat'!$N:$N)</f>
        <v>2051.3799999999997</v>
      </c>
      <c r="D7" s="180">
        <f>SUMIF('Ruimtestaat'!$A:$A,Totalisatie!$A7,'Ruimtestaat'!$AE:$AE)</f>
        <v>395199.00000000006</v>
      </c>
      <c r="E7" s="181">
        <f>SUMIF('Ruimtestaat'!$A:$A,Totalisatie!$A7,'Ruimtestaat'!$AF:$AF)</f>
        <v>0</v>
      </c>
      <c r="F7" s="182" t="e">
        <f>D7/E7</f>
        <v>#DIV/0!</v>
      </c>
      <c r="G7" s="183">
        <f>SUMIF('Ruimtestaat'!$A:$A,Totalisatie!$A7,'Ruimtestaat'!$AG:$AG)</f>
        <v>0</v>
      </c>
      <c r="H7" s="184">
        <f>G7/C7</f>
        <v>0</v>
      </c>
    </row>
    <row r="8" spans="1:8" ht="18.75" customHeight="1">
      <c r="A8" s="178">
        <v>2</v>
      </c>
      <c r="B8" s="179" t="str">
        <f>VLOOKUP(Samenvattingschoonmaak[[#This Row],[Code Locatie]],Locaties[],2,0)</f>
        <v>Losser</v>
      </c>
      <c r="C8" s="180">
        <f>SUMIF('Ruimtestaat'!$A:$A,Totalisatie!$A8,'Ruimtestaat'!$N:$N)</f>
        <v>5168.1527000000024</v>
      </c>
      <c r="D8" s="180">
        <f>SUMIF('Ruimtestaat'!$A:$A,Totalisatie!$A8,'Ruimtestaat'!$AE:$AE)</f>
        <v>1057833.8021999998</v>
      </c>
      <c r="E8" s="181">
        <f>SUMIF('Ruimtestaat'!$A:$A,Totalisatie!$A8,'Ruimtestaat'!$AF:$AF)</f>
        <v>0</v>
      </c>
      <c r="F8" s="182" t="e">
        <f t="shared" ref="F8:F13" si="0">D8/E8</f>
        <v>#DIV/0!</v>
      </c>
      <c r="G8" s="183">
        <f>SUMIF('Ruimtestaat'!$A:$A,Totalisatie!$A8,'Ruimtestaat'!$AG:$AG)</f>
        <v>0</v>
      </c>
      <c r="H8" s="184">
        <f t="shared" ref="H8:H13" si="1">G8/C8</f>
        <v>0</v>
      </c>
    </row>
    <row r="9" spans="1:8" ht="18.75" customHeight="1">
      <c r="A9" s="178">
        <v>3</v>
      </c>
      <c r="B9" s="179" t="str">
        <f>VLOOKUP(Samenvattingschoonmaak[[#This Row],[Code Locatie]],Locaties[],2,0)</f>
        <v>Denekamp</v>
      </c>
      <c r="C9" s="180">
        <f>SUMIF('Ruimtestaat'!$A:$A,Totalisatie!$A9,'Ruimtestaat'!$N:$N)</f>
        <v>1905.52</v>
      </c>
      <c r="D9" s="180">
        <f>SUMIF('Ruimtestaat'!$A:$A,Totalisatie!$A9,'Ruimtestaat'!$AE:$AE)</f>
        <v>352151.52</v>
      </c>
      <c r="E9" s="181">
        <f>SUMIF('Ruimtestaat'!$A:$A,Totalisatie!$A9,'Ruimtestaat'!$AF:$AF)</f>
        <v>0</v>
      </c>
      <c r="F9" s="182" t="e">
        <f t="shared" si="0"/>
        <v>#DIV/0!</v>
      </c>
      <c r="G9" s="183">
        <f>SUMIF('Ruimtestaat'!$A:$A,Totalisatie!$A9,'Ruimtestaat'!$AG:$AG)</f>
        <v>0</v>
      </c>
      <c r="H9" s="184">
        <f t="shared" si="1"/>
        <v>0</v>
      </c>
    </row>
    <row r="10" spans="1:8" ht="18.75" customHeight="1">
      <c r="A10" s="178">
        <v>4</v>
      </c>
      <c r="B10" s="179" t="str">
        <f>VLOOKUP(Samenvattingschoonmaak[[#This Row],[Code Locatie]],Locaties[],2,0)</f>
        <v xml:space="preserve">Lyceumstraat </v>
      </c>
      <c r="C10" s="180">
        <f>SUMIF('Ruimtestaat'!$A:$A,Totalisatie!$A10,'Ruimtestaat'!$N:$N)</f>
        <v>11704</v>
      </c>
      <c r="D10" s="180">
        <f>SUMIF('Ruimtestaat'!$A:$A,Totalisatie!$A10,'Ruimtestaat'!$AE:$AE)</f>
        <v>2512113</v>
      </c>
      <c r="E10" s="181">
        <f>SUMIF('Ruimtestaat'!$A:$A,Totalisatie!$A10,'Ruimtestaat'!$AF:$AF)</f>
        <v>0</v>
      </c>
      <c r="F10" s="182" t="e">
        <f t="shared" si="0"/>
        <v>#DIV/0!</v>
      </c>
      <c r="G10" s="183">
        <f>SUMIF('Ruimtestaat'!$A:$A,Totalisatie!$A10,'Ruimtestaat'!$AG:$AG)</f>
        <v>0</v>
      </c>
      <c r="H10" s="184">
        <f t="shared" si="1"/>
        <v>0</v>
      </c>
    </row>
    <row r="11" spans="1:8" ht="18.75" customHeight="1">
      <c r="A11" s="178">
        <v>5</v>
      </c>
      <c r="B11" s="179" t="str">
        <f>VLOOKUP(Samenvattingschoonmaak[[#This Row],[Code Locatie]],Locaties[],2,0)</f>
        <v>Potskamp</v>
      </c>
      <c r="C11" s="180">
        <f>SUMIF('Ruimtestaat'!$A:$A,Totalisatie!$A11,'Ruimtestaat'!$N:$N)</f>
        <v>15597.599999999999</v>
      </c>
      <c r="D11" s="180">
        <f>SUMIF('Ruimtestaat'!$A:$A,Totalisatie!$A11,'Ruimtestaat'!$AE:$AE)</f>
        <v>3245432.4</v>
      </c>
      <c r="E11" s="181">
        <f>SUMIF('Ruimtestaat'!$A:$A,Totalisatie!$A11,'Ruimtestaat'!$AF:$AF)</f>
        <v>0</v>
      </c>
      <c r="F11" s="182" t="e">
        <f t="shared" si="0"/>
        <v>#DIV/0!</v>
      </c>
      <c r="G11" s="183">
        <f>SUMIF('Ruimtestaat'!$A:$A,Totalisatie!$A11,'Ruimtestaat'!$AG:$AG)</f>
        <v>0</v>
      </c>
      <c r="H11" s="184">
        <f t="shared" si="1"/>
        <v>0</v>
      </c>
    </row>
    <row r="12" spans="1:8" ht="18.75" customHeight="1">
      <c r="A12" s="178">
        <v>6</v>
      </c>
      <c r="B12" s="179" t="str">
        <f>VLOOKUP(Samenvattingschoonmaak[[#This Row],[Code Locatie]],Locaties[],2,0)</f>
        <v>De Thij</v>
      </c>
      <c r="C12" s="180">
        <f>SUMIF('Ruimtestaat'!$A:$A,Totalisatie!$A12,'Ruimtestaat'!$N:$N)</f>
        <v>9655.9099999999962</v>
      </c>
      <c r="D12" s="180">
        <f>SUMIF('Ruimtestaat'!$A:$A,Totalisatie!$A12,'Ruimtestaat'!$AE:$AE)</f>
        <v>2091022.5000000002</v>
      </c>
      <c r="E12" s="181">
        <f>SUMIF('Ruimtestaat'!$A:$A,Totalisatie!$A12,'Ruimtestaat'!$AF:$AF)</f>
        <v>0</v>
      </c>
      <c r="F12" s="182" t="e">
        <f t="shared" si="0"/>
        <v>#DIV/0!</v>
      </c>
      <c r="G12" s="183">
        <f>SUMIF('Ruimtestaat'!$A:$A,Totalisatie!$A12,'Ruimtestaat'!$AG:$AG)</f>
        <v>0</v>
      </c>
      <c r="H12" s="184">
        <f t="shared" si="1"/>
        <v>0</v>
      </c>
    </row>
    <row r="13" spans="1:8" ht="18.75" customHeight="1">
      <c r="A13" s="178">
        <v>7</v>
      </c>
      <c r="B13" s="179" t="str">
        <f>VLOOKUP(Samenvattingschoonmaak[[#This Row],[Code Locatie]],Locaties[],2,0)</f>
        <v>Bestuursbureau</v>
      </c>
      <c r="C13" s="180">
        <f>SUMIF('Ruimtestaat'!$A:$A,Totalisatie!$A13,'Ruimtestaat'!$N:$N)</f>
        <v>1423.2899999999997</v>
      </c>
      <c r="D13" s="180">
        <f>SUMIF('Ruimtestaat'!$A:$A,Totalisatie!$A13,'Ruimtestaat'!$AE:$AE)</f>
        <v>240925.31999999998</v>
      </c>
      <c r="E13" s="181">
        <f>SUMIF('Ruimtestaat'!$A:$A,Totalisatie!$A13,'Ruimtestaat'!$AF:$AF)</f>
        <v>0</v>
      </c>
      <c r="F13" s="182" t="e">
        <f t="shared" si="0"/>
        <v>#DIV/0!</v>
      </c>
      <c r="G13" s="183">
        <f>SUMIF('Ruimtestaat'!$A:$A,Totalisatie!$A13,'Ruimtestaat'!$AG:$AG)</f>
        <v>0</v>
      </c>
      <c r="H13" s="184">
        <f t="shared" si="1"/>
        <v>0</v>
      </c>
    </row>
    <row r="14" spans="1:8" s="43" customFormat="1" ht="25.5" customHeight="1">
      <c r="A14" s="171"/>
      <c r="B14" s="172" t="s">
        <v>33</v>
      </c>
      <c r="C14" s="173">
        <f>SUBTOTAL(109,Samenvattingschoonmaak[Oppervlakte i/o])</f>
        <v>47505.852699999996</v>
      </c>
      <c r="D14" s="173">
        <f>SUBTOTAL(109,Samenvattingschoonmaak[Prest. (m2 /jaar)])</f>
        <v>9894677.542200001</v>
      </c>
      <c r="E14" s="174">
        <f>SUBTOTAL(109,Samenvattingschoonmaak[Uren / jaar])</f>
        <v>0</v>
      </c>
      <c r="F14" s="173" t="e">
        <f>Samenvattingschoonmaak[[#Totals],[Prest. (m2 /jaar)]]/Samenvattingschoonmaak[[#Totals],[Uren / jaar]]</f>
        <v>#DIV/0!</v>
      </c>
      <c r="G14" s="175">
        <f>SUBTOTAL(109,Samenvattingschoonmaak[Kosten / jaar])</f>
        <v>0</v>
      </c>
      <c r="H14" s="176">
        <f>Samenvattingschoonmaak[[#Totals],[Kosten / jaar]]/Samenvattingschoonmaak[[#Totals],[Oppervlakte i/o]]</f>
        <v>0</v>
      </c>
    </row>
    <row r="15" spans="1:8" ht="18.75" customHeight="1">
      <c r="A15" s="137"/>
      <c r="B15" s="3"/>
    </row>
    <row r="16" spans="1:8" ht="18.75" customHeight="1">
      <c r="A16" s="93" t="s">
        <v>175</v>
      </c>
      <c r="B16" s="42"/>
      <c r="C16" s="42"/>
      <c r="D16" s="42"/>
      <c r="E16" s="42"/>
      <c r="F16" s="42"/>
      <c r="H16" s="42"/>
    </row>
    <row r="17" spans="1:8" ht="37.5" customHeight="1">
      <c r="A17" s="133" t="s">
        <v>208</v>
      </c>
      <c r="B17" s="134" t="s">
        <v>217</v>
      </c>
      <c r="C17" s="133" t="s">
        <v>177</v>
      </c>
      <c r="D17" s="136" t="s">
        <v>173</v>
      </c>
      <c r="E17" s="136" t="s">
        <v>174</v>
      </c>
      <c r="F17" s="136" t="s">
        <v>1221</v>
      </c>
      <c r="G17" s="240" t="s">
        <v>216</v>
      </c>
    </row>
    <row r="18" spans="1:8" ht="18.75" customHeight="1">
      <c r="A18" s="178">
        <v>1</v>
      </c>
      <c r="B18" s="179" t="str">
        <f>VLOOKUP(Totalisatie[[#This Row],[Code Locatie]],Locaties[],2,0)</f>
        <v>Praktijkonderwijs</v>
      </c>
      <c r="C18" s="183">
        <f>SUMIF('Ruimtestaat'!A:A,Totalisatie[[#This Row],[Code Locatie]],'Ruimtestaat'!AG:AG)</f>
        <v>0</v>
      </c>
      <c r="D18" s="185">
        <f>SUMIF(Glasbewassing!$A$26:$A$67,Totalisatie[[#This Row],[Code Locatie]],Glasbewassing!$G$26:$G$67)</f>
        <v>0</v>
      </c>
      <c r="E18" s="233">
        <f>SUMIF(Vloeronderhoud!$A$19:$A$56,Totalisatie[[#This Row],[Code Locatie]],Vloeronderhoud!$I$19:$I$56)</f>
        <v>0</v>
      </c>
      <c r="F18" s="233">
        <f ca="1">SUMIF(OverzichtExtraW[[Code Locatie]:[Kosten/jaar excl. BTW]],Totalisatie[[#This Row],[Code Locatie]],OverzichtExtraW[Kosten/jaar excl. BTW])</f>
        <v>0</v>
      </c>
      <c r="G18" s="183">
        <f ca="1">SUM(Totalisatie[[#This Row],[Schoonmaakonderhoud
Kosten / jaar]:[Extra werkzaamheden
Kosten / jaar]])</f>
        <v>0</v>
      </c>
    </row>
    <row r="19" spans="1:8" ht="18.75" customHeight="1">
      <c r="A19" s="178">
        <v>2</v>
      </c>
      <c r="B19" s="179" t="str">
        <f>VLOOKUP(Totalisatie[[#This Row],[Code Locatie]],Locaties[],2,0)</f>
        <v>Losser</v>
      </c>
      <c r="C19" s="183">
        <f>SUMIF('Ruimtestaat'!A:A,Totalisatie[[#This Row],[Code Locatie]],'Ruimtestaat'!AG:AG)</f>
        <v>0</v>
      </c>
      <c r="D19" s="185">
        <f>SUMIF(Glasbewassing!$A$26:$A$67,Totalisatie[[#This Row],[Code Locatie]],Glasbewassing!$G$26:$G$67)</f>
        <v>0</v>
      </c>
      <c r="E19" s="233">
        <f>SUMIF(Vloeronderhoud!$A$19:$A$56,Totalisatie[[#This Row],[Code Locatie]],Vloeronderhoud!$I$19:$I$56)</f>
        <v>0</v>
      </c>
      <c r="F19" s="233">
        <f ca="1">SUMIF(OverzichtExtraW[[Code Locatie]:[Kosten/jaar excl. BTW]],Totalisatie[[#This Row],[Code Locatie]],OverzichtExtraW[Kosten/jaar excl. BTW])</f>
        <v>0</v>
      </c>
      <c r="G19" s="183">
        <f ca="1">SUM(Totalisatie[[#This Row],[Schoonmaakonderhoud
Kosten / jaar]:[Extra werkzaamheden
Kosten / jaar]])</f>
        <v>0</v>
      </c>
    </row>
    <row r="20" spans="1:8" ht="18.75" customHeight="1">
      <c r="A20" s="178">
        <v>3</v>
      </c>
      <c r="B20" s="179" t="str">
        <f>VLOOKUP(Totalisatie[[#This Row],[Code Locatie]],Locaties[],2,0)</f>
        <v>Denekamp</v>
      </c>
      <c r="C20" s="183">
        <f>SUMIF('Ruimtestaat'!A:A,Totalisatie[[#This Row],[Code Locatie]],'Ruimtestaat'!AG:AG)</f>
        <v>0</v>
      </c>
      <c r="D20" s="185">
        <f>SUMIF(Glasbewassing!$A$26:$A$67,Totalisatie[[#This Row],[Code Locatie]],Glasbewassing!$G$26:$G$67)</f>
        <v>0</v>
      </c>
      <c r="E20" s="233">
        <f>SUMIF(Vloeronderhoud!$A$19:$A$56,Totalisatie[[#This Row],[Code Locatie]],Vloeronderhoud!$I$19:$I$56)</f>
        <v>0</v>
      </c>
      <c r="F20" s="233">
        <f ca="1">SUMIF(OverzichtExtraW[[Code Locatie]:[Kosten/jaar excl. BTW]],Totalisatie[[#This Row],[Code Locatie]],OverzichtExtraW[Kosten/jaar excl. BTW])</f>
        <v>0</v>
      </c>
      <c r="G20" s="183">
        <f ca="1">SUM(Totalisatie[[#This Row],[Schoonmaakonderhoud
Kosten / jaar]:[Extra werkzaamheden
Kosten / jaar]])</f>
        <v>0</v>
      </c>
    </row>
    <row r="21" spans="1:8" ht="18.75" customHeight="1">
      <c r="A21" s="178">
        <v>4</v>
      </c>
      <c r="B21" s="179" t="str">
        <f>VLOOKUP(Totalisatie[[#This Row],[Code Locatie]],Locaties[],2,0)</f>
        <v xml:space="preserve">Lyceumstraat </v>
      </c>
      <c r="C21" s="183">
        <f>SUMIF('Ruimtestaat'!A:A,Totalisatie[[#This Row],[Code Locatie]],'Ruimtestaat'!AG:AG)</f>
        <v>0</v>
      </c>
      <c r="D21" s="185">
        <f>SUMIF(Glasbewassing!$A$26:$A$67,Totalisatie[[#This Row],[Code Locatie]],Glasbewassing!$G$26:$G$67)</f>
        <v>0</v>
      </c>
      <c r="E21" s="233">
        <f>SUMIF(Vloeronderhoud!$A$19:$A$56,Totalisatie[[#This Row],[Code Locatie]],Vloeronderhoud!$I$19:$I$56)</f>
        <v>0</v>
      </c>
      <c r="F21" s="233">
        <f ca="1">SUMIF(OverzichtExtraW[[Code Locatie]:[Kosten/jaar excl. BTW]],Totalisatie[[#This Row],[Code Locatie]],OverzichtExtraW[Kosten/jaar excl. BTW])</f>
        <v>0</v>
      </c>
      <c r="G21" s="183">
        <f ca="1">SUM(Totalisatie[[#This Row],[Schoonmaakonderhoud
Kosten / jaar]:[Extra werkzaamheden
Kosten / jaar]])</f>
        <v>0</v>
      </c>
    </row>
    <row r="22" spans="1:8" ht="18.75" customHeight="1">
      <c r="A22" s="178">
        <v>5</v>
      </c>
      <c r="B22" s="179" t="str">
        <f>VLOOKUP(Totalisatie[[#This Row],[Code Locatie]],Locaties[],2,0)</f>
        <v>Potskamp</v>
      </c>
      <c r="C22" s="183">
        <f>SUMIF('Ruimtestaat'!A:A,Totalisatie[[#This Row],[Code Locatie]],'Ruimtestaat'!AG:AG)</f>
        <v>0</v>
      </c>
      <c r="D22" s="185">
        <f>SUMIF(Glasbewassing!$A$26:$A$67,Totalisatie[[#This Row],[Code Locatie]],Glasbewassing!$G$26:$G$67)</f>
        <v>0</v>
      </c>
      <c r="E22" s="233">
        <f>SUMIF(Vloeronderhoud!$A$19:$A$56,Totalisatie[[#This Row],[Code Locatie]],Vloeronderhoud!$I$19:$I$56)</f>
        <v>0</v>
      </c>
      <c r="F22" s="233">
        <f ca="1">SUMIF(OverzichtExtraW[[Code Locatie]:[Kosten/jaar excl. BTW]],Totalisatie[[#This Row],[Code Locatie]],OverzichtExtraW[Kosten/jaar excl. BTW])</f>
        <v>0</v>
      </c>
      <c r="G22" s="183">
        <f ca="1">SUM(Totalisatie[[#This Row],[Schoonmaakonderhoud
Kosten / jaar]:[Extra werkzaamheden
Kosten / jaar]])</f>
        <v>0</v>
      </c>
    </row>
    <row r="23" spans="1:8" ht="18.75" customHeight="1">
      <c r="A23" s="178">
        <v>6</v>
      </c>
      <c r="B23" s="179" t="str">
        <f>VLOOKUP(Totalisatie[[#This Row],[Code Locatie]],Locaties[],2,0)</f>
        <v>De Thij</v>
      </c>
      <c r="C23" s="183">
        <f>SUMIF('Ruimtestaat'!A:A,Totalisatie[[#This Row],[Code Locatie]],'Ruimtestaat'!AG:AG)</f>
        <v>0</v>
      </c>
      <c r="D23" s="185">
        <f>SUMIF(Glasbewassing!$A$26:$A$67,Totalisatie[[#This Row],[Code Locatie]],Glasbewassing!$G$26:$G$67)</f>
        <v>0</v>
      </c>
      <c r="E23" s="233">
        <f>SUMIF(Vloeronderhoud!$A$19:$A$56,Totalisatie[[#This Row],[Code Locatie]],Vloeronderhoud!$I$19:$I$56)</f>
        <v>0</v>
      </c>
      <c r="F23" s="233">
        <f ca="1">SUMIF(OverzichtExtraW[[Code Locatie]:[Kosten/jaar excl. BTW]],Totalisatie[[#This Row],[Code Locatie]],OverzichtExtraW[Kosten/jaar excl. BTW])</f>
        <v>0</v>
      </c>
      <c r="G23" s="183">
        <f ca="1">SUM(Totalisatie[[#This Row],[Schoonmaakonderhoud
Kosten / jaar]:[Extra werkzaamheden
Kosten / jaar]])</f>
        <v>0</v>
      </c>
    </row>
    <row r="24" spans="1:8" ht="18.75" customHeight="1">
      <c r="A24" s="178">
        <v>7</v>
      </c>
      <c r="B24" s="179" t="str">
        <f>VLOOKUP(Totalisatie[[#This Row],[Code Locatie]],Locaties[],2,0)</f>
        <v>Bestuursbureau</v>
      </c>
      <c r="C24" s="183">
        <f>SUMIF('Ruimtestaat'!A:A,Totalisatie[[#This Row],[Code Locatie]],'Ruimtestaat'!AG:AG)</f>
        <v>0</v>
      </c>
      <c r="D24" s="185">
        <f>SUMIF(Glasbewassing!$A$26:$A$67,Totalisatie[[#This Row],[Code Locatie]],Glasbewassing!$G$26:$G$67)</f>
        <v>0</v>
      </c>
      <c r="E24" s="233">
        <f>SUMIF(Vloeronderhoud!$A$19:$A$56,Totalisatie[[#This Row],[Code Locatie]],Vloeronderhoud!$I$19:$I$56)</f>
        <v>0</v>
      </c>
      <c r="F24" s="233">
        <f ca="1">SUMIF(OverzichtExtraW[[Code Locatie]:[Kosten/jaar excl. BTW]],Totalisatie[[#This Row],[Code Locatie]],OverzichtExtraW[Kosten/jaar excl. BTW])</f>
        <v>0</v>
      </c>
      <c r="G24" s="183">
        <f ca="1">SUM(Totalisatie[[#This Row],[Schoonmaakonderhoud
Kosten / jaar]:[Extra werkzaamheden
Kosten / jaar]])</f>
        <v>0</v>
      </c>
    </row>
    <row r="25" spans="1:8" ht="18.75" customHeight="1">
      <c r="A25" s="171"/>
      <c r="B25" s="172" t="s">
        <v>33</v>
      </c>
      <c r="C25" s="175">
        <f>SUBTOTAL(109,Totalisatie[Schoonmaakonderhoud
Kosten / jaar])</f>
        <v>0</v>
      </c>
      <c r="D25" s="175">
        <f>SUBTOTAL(109,Totalisatie[Glasbewassing
Kosten / jaar])</f>
        <v>0</v>
      </c>
      <c r="E25" s="175">
        <f>SUBTOTAL(109,Totalisatie[Vloeronderhoud
Kosten / jaar])</f>
        <v>0</v>
      </c>
      <c r="F25" s="175">
        <f ca="1">SUBTOTAL(109,Totalisatie[Extra werkzaamheden
Kosten / jaar])</f>
        <v>0</v>
      </c>
      <c r="G25" s="175">
        <f ca="1">SUBTOTAL(109,Totalisatie[Totaalprijs
Kosten / jaar])</f>
        <v>0</v>
      </c>
    </row>
    <row r="26" spans="1:8" ht="18.75" customHeight="1">
      <c r="A26" s="137"/>
      <c r="B26" s="3"/>
    </row>
    <row r="27" spans="1:8" ht="18.75" customHeight="1">
      <c r="A27" s="137"/>
      <c r="B27" s="3"/>
    </row>
    <row r="28" spans="1:8" ht="12.75">
      <c r="A28" s="93" t="s">
        <v>218</v>
      </c>
      <c r="B28" s="3"/>
      <c r="H28" s="149"/>
    </row>
    <row r="29" spans="1:8" ht="18.75" customHeight="1">
      <c r="A29" s="361" t="s">
        <v>222</v>
      </c>
      <c r="B29" s="362"/>
      <c r="C29" s="363" t="s">
        <v>391</v>
      </c>
      <c r="D29" s="363"/>
      <c r="E29" s="363"/>
      <c r="F29" s="363"/>
      <c r="G29" s="364"/>
    </row>
    <row r="30" spans="1:8" ht="18.75" customHeight="1">
      <c r="A30" s="138" t="s">
        <v>128</v>
      </c>
      <c r="B30" s="365" t="s">
        <v>228</v>
      </c>
      <c r="C30" s="366"/>
      <c r="D30" s="138" t="s">
        <v>128</v>
      </c>
      <c r="E30" s="365" t="s">
        <v>228</v>
      </c>
      <c r="F30" s="369"/>
      <c r="G30" s="366"/>
    </row>
    <row r="31" spans="1:8" ht="18.75" customHeight="1">
      <c r="A31" s="139" t="s">
        <v>219</v>
      </c>
      <c r="B31" s="367" t="s">
        <v>228</v>
      </c>
      <c r="C31" s="368"/>
      <c r="D31" s="139" t="s">
        <v>219</v>
      </c>
      <c r="E31" s="367" t="s">
        <v>228</v>
      </c>
      <c r="F31" s="370"/>
      <c r="G31" s="368"/>
    </row>
    <row r="32" spans="1:8" ht="18.75" customHeight="1">
      <c r="A32" s="138" t="s">
        <v>220</v>
      </c>
      <c r="B32" s="365" t="s">
        <v>228</v>
      </c>
      <c r="C32" s="366"/>
      <c r="D32" s="138" t="s">
        <v>220</v>
      </c>
      <c r="E32" s="365" t="s">
        <v>228</v>
      </c>
      <c r="F32" s="369"/>
      <c r="G32" s="366"/>
    </row>
    <row r="33" spans="1:7" ht="37.5" customHeight="1">
      <c r="A33" s="139" t="s">
        <v>221</v>
      </c>
      <c r="B33" s="367" t="s">
        <v>228</v>
      </c>
      <c r="C33" s="368"/>
      <c r="D33" s="139" t="s">
        <v>221</v>
      </c>
      <c r="E33" s="358" t="s">
        <v>228</v>
      </c>
      <c r="F33" s="359"/>
      <c r="G33" s="360"/>
    </row>
  </sheetData>
  <mergeCells count="12">
    <mergeCell ref="A1:H1"/>
    <mergeCell ref="A2:H2"/>
    <mergeCell ref="E33:G33"/>
    <mergeCell ref="A29:B29"/>
    <mergeCell ref="C29:G29"/>
    <mergeCell ref="B30:C30"/>
    <mergeCell ref="B31:C31"/>
    <mergeCell ref="B32:C32"/>
    <mergeCell ref="B33:C33"/>
    <mergeCell ref="E30:G30"/>
    <mergeCell ref="E31:G31"/>
    <mergeCell ref="E32:G32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scale="47" orientation="portrait" r:id="rId1"/>
  <headerFooter>
    <oddFooter>&amp;L&amp;F&amp;C&amp;D&amp;R&amp;A</oddFooter>
  </headerFooter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86B69-F31D-46D9-B741-3DE6782D8153}">
  <sheetPr>
    <tabColor theme="0" tint="-0.14999847407452621"/>
  </sheetPr>
  <dimension ref="A1:A17"/>
  <sheetViews>
    <sheetView tabSelected="1" view="pageBreakPreview" zoomScaleNormal="100" zoomScaleSheetLayoutView="100" workbookViewId="0">
      <selection sqref="A1:A2"/>
    </sheetView>
  </sheetViews>
  <sheetFormatPr defaultColWidth="9.140625" defaultRowHeight="15" customHeight="1"/>
  <cols>
    <col min="1" max="1" width="133.7109375" style="9" bestFit="1" customWidth="1"/>
    <col min="2" max="2" width="10.7109375" style="9" customWidth="1"/>
    <col min="3" max="3" width="7.5703125" style="9" customWidth="1"/>
    <col min="4" max="4" width="29" style="9" bestFit="1" customWidth="1"/>
    <col min="5" max="5" width="5.7109375" style="9" customWidth="1"/>
    <col min="6" max="6" width="9.140625" style="9"/>
    <col min="7" max="7" width="17.85546875" style="9" bestFit="1" customWidth="1"/>
    <col min="8" max="10" width="9.140625" style="9"/>
    <col min="11" max="11" width="19.7109375" style="9" customWidth="1"/>
    <col min="12" max="16384" width="9.140625" style="9"/>
  </cols>
  <sheetData>
    <row r="1" spans="1:1" ht="11.25" customHeight="1">
      <c r="A1" s="306" t="s">
        <v>1289</v>
      </c>
    </row>
    <row r="2" spans="1:1" ht="11.25" customHeight="1">
      <c r="A2" s="307"/>
    </row>
    <row r="3" spans="1:1" ht="15" customHeight="1">
      <c r="A3" s="298" t="s">
        <v>1400</v>
      </c>
    </row>
    <row r="4" spans="1:1" ht="15" customHeight="1">
      <c r="A4" s="281" t="s">
        <v>1271</v>
      </c>
    </row>
    <row r="5" spans="1:1" ht="15" customHeight="1">
      <c r="A5" s="281" t="s">
        <v>1272</v>
      </c>
    </row>
    <row r="6" spans="1:1" ht="15" customHeight="1">
      <c r="A6" s="281" t="s">
        <v>1273</v>
      </c>
    </row>
    <row r="7" spans="1:1" ht="15" customHeight="1">
      <c r="A7" s="281" t="s">
        <v>1274</v>
      </c>
    </row>
    <row r="8" spans="1:1" ht="15" customHeight="1">
      <c r="A8" s="281" t="s">
        <v>1275</v>
      </c>
    </row>
    <row r="9" spans="1:1" ht="15" customHeight="1">
      <c r="A9" s="282" t="s">
        <v>1276</v>
      </c>
    </row>
    <row r="10" spans="1:1" ht="15" customHeight="1">
      <c r="A10" s="282" t="s">
        <v>1277</v>
      </c>
    </row>
    <row r="11" spans="1:1" ht="15" customHeight="1">
      <c r="A11" s="282" t="s">
        <v>1278</v>
      </c>
    </row>
    <row r="12" spans="1:1" ht="15" customHeight="1">
      <c r="A12" s="282" t="s">
        <v>1279</v>
      </c>
    </row>
    <row r="13" spans="1:1" ht="15" customHeight="1">
      <c r="A13" s="282" t="s">
        <v>1280</v>
      </c>
    </row>
    <row r="14" spans="1:1" ht="15" customHeight="1">
      <c r="A14" s="282" t="s">
        <v>1281</v>
      </c>
    </row>
    <row r="15" spans="1:1" ht="15" customHeight="1">
      <c r="A15" s="281" t="s">
        <v>1282</v>
      </c>
    </row>
    <row r="16" spans="1:1" ht="15" customHeight="1">
      <c r="A16" s="283" t="s">
        <v>1283</v>
      </c>
    </row>
    <row r="17" spans="1:1" ht="11.25">
      <c r="A17" s="282"/>
    </row>
  </sheetData>
  <mergeCells count="1">
    <mergeCell ref="A1:A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994FD-653F-4F1F-A1E1-EBE6C7CB2CB4}">
  <sheetPr>
    <tabColor theme="0" tint="-0.14999847407452621"/>
  </sheetPr>
  <dimension ref="A1:Q60"/>
  <sheetViews>
    <sheetView showGridLines="0" view="pageBreakPreview" zoomScaleNormal="100" zoomScaleSheetLayoutView="100" workbookViewId="0">
      <selection activeCell="A2" sqref="A2:E2"/>
    </sheetView>
  </sheetViews>
  <sheetFormatPr defaultColWidth="7.85546875" defaultRowHeight="15" customHeight="1"/>
  <cols>
    <col min="1" max="1" width="15.140625" style="4" bestFit="1" customWidth="1"/>
    <col min="2" max="2" width="26" style="4" customWidth="1"/>
    <col min="3" max="3" width="18.28515625" style="4" customWidth="1"/>
    <col min="4" max="4" width="17.7109375" style="4" bestFit="1" customWidth="1"/>
    <col min="5" max="5" width="18.28515625" style="18" customWidth="1"/>
    <col min="6" max="6" width="2.85546875" style="4" customWidth="1"/>
    <col min="7" max="7" width="11" style="4" bestFit="1" customWidth="1"/>
    <col min="8" max="8" width="12" style="4" bestFit="1" customWidth="1"/>
    <col min="9" max="9" width="17.7109375" style="4" bestFit="1" customWidth="1"/>
    <col min="10" max="10" width="12" style="4" bestFit="1" customWidth="1"/>
    <col min="11" max="11" width="17.7109375" style="4" bestFit="1" customWidth="1"/>
    <col min="12" max="12" width="12" style="4" bestFit="1" customWidth="1"/>
    <col min="13" max="13" width="17.7109375" style="4" bestFit="1" customWidth="1"/>
    <col min="14" max="14" width="12" style="4" bestFit="1" customWidth="1"/>
    <col min="15" max="15" width="17.7109375" style="4" bestFit="1" customWidth="1"/>
    <col min="16" max="16" width="12" style="4" bestFit="1" customWidth="1"/>
    <col min="17" max="17" width="15.85546875" style="4" customWidth="1"/>
    <col min="18" max="16384" width="7.85546875" style="4"/>
  </cols>
  <sheetData>
    <row r="1" spans="1:17" s="9" customFormat="1" ht="26.25" customHeight="1">
      <c r="A1" s="308" t="s">
        <v>35</v>
      </c>
      <c r="B1" s="308"/>
      <c r="C1" s="308"/>
      <c r="D1" s="308"/>
      <c r="E1" s="308"/>
    </row>
    <row r="2" spans="1:17" s="9" customFormat="1" ht="15" customHeight="1">
      <c r="A2" s="310" t="s">
        <v>212</v>
      </c>
      <c r="B2" s="310"/>
      <c r="C2" s="310"/>
      <c r="D2" s="310"/>
      <c r="E2" s="310"/>
      <c r="G2" s="323" t="s">
        <v>384</v>
      </c>
      <c r="H2" s="323"/>
      <c r="I2" s="323"/>
      <c r="J2" s="323"/>
      <c r="K2" s="323"/>
      <c r="L2" s="323"/>
      <c r="M2" s="323"/>
      <c r="N2" s="323"/>
      <c r="O2" s="323"/>
      <c r="P2" s="323"/>
      <c r="Q2" s="323"/>
    </row>
    <row r="3" spans="1:17" ht="15" customHeight="1">
      <c r="E3" s="4"/>
      <c r="G3" s="214"/>
      <c r="H3" s="326">
        <v>2023</v>
      </c>
      <c r="I3" s="326"/>
      <c r="J3" s="324">
        <v>2024</v>
      </c>
      <c r="K3" s="325"/>
      <c r="L3" s="324">
        <v>2025</v>
      </c>
      <c r="M3" s="325"/>
      <c r="N3" s="324">
        <v>2026</v>
      </c>
      <c r="O3" s="325"/>
      <c r="P3" s="324">
        <v>2026</v>
      </c>
      <c r="Q3" s="325"/>
    </row>
    <row r="4" spans="1:17" s="8" customFormat="1" ht="26.25" customHeight="1">
      <c r="A4" s="311" t="s">
        <v>77</v>
      </c>
      <c r="B4" s="312"/>
      <c r="C4" s="97" t="s">
        <v>207</v>
      </c>
      <c r="D4" s="97" t="s">
        <v>223</v>
      </c>
      <c r="E4" s="97" t="s">
        <v>84</v>
      </c>
      <c r="G4" s="214" t="s">
        <v>383</v>
      </c>
      <c r="H4" s="214" t="s">
        <v>382</v>
      </c>
      <c r="I4" s="214" t="s">
        <v>381</v>
      </c>
      <c r="J4" s="214" t="s">
        <v>382</v>
      </c>
      <c r="K4" s="214" t="s">
        <v>381</v>
      </c>
      <c r="L4" s="214" t="s">
        <v>382</v>
      </c>
      <c r="M4" s="214" t="s">
        <v>381</v>
      </c>
      <c r="N4" s="214" t="s">
        <v>382</v>
      </c>
      <c r="O4" s="214" t="s">
        <v>381</v>
      </c>
      <c r="P4" s="214" t="s">
        <v>382</v>
      </c>
      <c r="Q4" s="214" t="s">
        <v>381</v>
      </c>
    </row>
    <row r="5" spans="1:17" ht="15" customHeight="1">
      <c r="A5" s="316" t="s">
        <v>100</v>
      </c>
      <c r="B5" s="317"/>
      <c r="C5" s="10">
        <v>0</v>
      </c>
      <c r="D5" s="11">
        <v>0</v>
      </c>
      <c r="E5" s="12">
        <f>C5*D5</f>
        <v>0</v>
      </c>
      <c r="G5" s="203"/>
      <c r="H5" s="203"/>
      <c r="I5" s="203"/>
      <c r="J5" s="203"/>
      <c r="K5" s="203"/>
      <c r="L5" s="203"/>
      <c r="M5" s="203"/>
      <c r="N5" s="203"/>
      <c r="O5" s="203"/>
      <c r="P5" s="203"/>
      <c r="Q5" s="203"/>
    </row>
    <row r="6" spans="1:17" ht="15" customHeight="1">
      <c r="A6" s="316" t="s">
        <v>67</v>
      </c>
      <c r="B6" s="317"/>
      <c r="C6" s="10">
        <v>0</v>
      </c>
      <c r="D6" s="11">
        <v>0</v>
      </c>
      <c r="E6" s="12">
        <f>C6*D6</f>
        <v>0</v>
      </c>
      <c r="G6" s="203"/>
      <c r="H6" s="203"/>
      <c r="I6" s="203"/>
      <c r="J6" s="203"/>
      <c r="K6" s="203"/>
      <c r="L6" s="203"/>
      <c r="M6" s="203"/>
      <c r="N6" s="203"/>
      <c r="O6" s="203"/>
      <c r="P6" s="203"/>
      <c r="Q6" s="203"/>
    </row>
    <row r="7" spans="1:17" ht="15" customHeight="1">
      <c r="A7" s="318" t="s">
        <v>68</v>
      </c>
      <c r="B7" s="320"/>
      <c r="C7" s="10">
        <v>0</v>
      </c>
      <c r="D7" s="11">
        <v>0</v>
      </c>
      <c r="E7" s="12">
        <f>C7*D7</f>
        <v>0</v>
      </c>
      <c r="G7" s="203"/>
      <c r="H7" s="203"/>
      <c r="I7" s="203"/>
      <c r="J7" s="203"/>
      <c r="K7" s="203"/>
      <c r="L7" s="203"/>
      <c r="M7" s="203"/>
      <c r="N7" s="203"/>
      <c r="O7" s="203"/>
      <c r="P7" s="203"/>
      <c r="Q7" s="203"/>
    </row>
    <row r="8" spans="1:17" ht="15" customHeight="1">
      <c r="A8" s="321" t="s">
        <v>69</v>
      </c>
      <c r="B8" s="322"/>
      <c r="C8" s="10">
        <v>0</v>
      </c>
      <c r="D8" s="11">
        <v>0</v>
      </c>
      <c r="E8" s="12">
        <f>C8*D8</f>
        <v>0</v>
      </c>
      <c r="G8" s="203"/>
      <c r="H8" s="203"/>
      <c r="I8" s="203"/>
      <c r="J8" s="203"/>
      <c r="K8" s="203"/>
      <c r="L8" s="203"/>
      <c r="M8" s="203"/>
      <c r="N8" s="203"/>
      <c r="O8" s="203"/>
      <c r="P8" s="203"/>
      <c r="Q8" s="203"/>
    </row>
    <row r="9" spans="1:17" ht="15" customHeight="1">
      <c r="A9" s="318" t="s">
        <v>101</v>
      </c>
      <c r="B9" s="319"/>
      <c r="C9" s="320"/>
      <c r="D9" s="13">
        <f>SUM(D5:D8)</f>
        <v>0</v>
      </c>
      <c r="E9" s="12" t="str">
        <f>IF(SUM($D$5:$D$8)=100%,SUM(E5:E8),"    GEEN 100%")</f>
        <v xml:space="preserve">    GEEN 100%</v>
      </c>
      <c r="G9" s="203"/>
      <c r="H9" s="212"/>
      <c r="I9" s="203"/>
      <c r="J9" s="203"/>
      <c r="K9" s="203"/>
      <c r="L9" s="203"/>
      <c r="M9" s="203"/>
      <c r="N9" s="203"/>
      <c r="O9" s="203"/>
      <c r="P9" s="203"/>
      <c r="Q9" s="203"/>
    </row>
    <row r="10" spans="1:17" ht="15" customHeight="1">
      <c r="A10" s="309" t="s">
        <v>70</v>
      </c>
      <c r="B10" s="309"/>
      <c r="C10" s="309"/>
      <c r="D10" s="144" t="s">
        <v>3</v>
      </c>
      <c r="E10" s="146">
        <f>SUM(E9:E9)</f>
        <v>0</v>
      </c>
      <c r="G10" s="203" t="s">
        <v>380</v>
      </c>
      <c r="H10" s="212"/>
      <c r="I10" s="146">
        <f>(E10*H10)+E10</f>
        <v>0</v>
      </c>
      <c r="J10" s="212">
        <v>0</v>
      </c>
      <c r="K10" s="146">
        <f>(I10*J10)+I10</f>
        <v>0</v>
      </c>
      <c r="L10" s="212">
        <v>0</v>
      </c>
      <c r="M10" s="146">
        <f>(K10*L10)+K10</f>
        <v>0</v>
      </c>
      <c r="N10" s="212">
        <v>0</v>
      </c>
      <c r="O10" s="146">
        <f>(M10*N10)+M10</f>
        <v>0</v>
      </c>
      <c r="P10" s="212">
        <v>0</v>
      </c>
      <c r="Q10" s="146">
        <f>(O10*P10)+O10</f>
        <v>0</v>
      </c>
    </row>
    <row r="11" spans="1:17" ht="15" customHeight="1">
      <c r="A11" s="16"/>
      <c r="B11" s="17"/>
      <c r="C11" s="17"/>
      <c r="D11" s="17"/>
      <c r="G11" s="203"/>
      <c r="H11" s="203"/>
      <c r="I11" s="203"/>
      <c r="J11" s="203"/>
      <c r="K11" s="203"/>
      <c r="L11" s="203"/>
      <c r="M11" s="203"/>
      <c r="N11" s="203"/>
      <c r="O11" s="203"/>
      <c r="P11" s="203"/>
      <c r="Q11" s="203"/>
    </row>
    <row r="12" spans="1:17" s="8" customFormat="1" ht="26.25" customHeight="1">
      <c r="A12" s="311" t="s">
        <v>72</v>
      </c>
      <c r="B12" s="313"/>
      <c r="C12" s="312"/>
      <c r="D12" s="98" t="s">
        <v>81</v>
      </c>
      <c r="E12" s="97" t="s">
        <v>84</v>
      </c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</row>
    <row r="13" spans="1:17" ht="15" customHeight="1">
      <c r="A13" s="314" t="s">
        <v>4</v>
      </c>
      <c r="B13" s="315"/>
      <c r="C13" s="315"/>
      <c r="D13" s="204">
        <v>0</v>
      </c>
      <c r="E13" s="15">
        <f>SUM($E$10*D13)</f>
        <v>0</v>
      </c>
      <c r="G13" s="222" t="s">
        <v>379</v>
      </c>
      <c r="H13" s="212"/>
      <c r="I13" s="207">
        <f>(E13*H13)+E13</f>
        <v>0</v>
      </c>
      <c r="J13" s="208"/>
      <c r="K13" s="207">
        <f>(I13*J13)+I13</f>
        <v>0</v>
      </c>
      <c r="L13" s="208"/>
      <c r="M13" s="207">
        <f>(K13*L13)+K13</f>
        <v>0</v>
      </c>
      <c r="N13" s="208"/>
      <c r="O13" s="207">
        <f>(M13*N13)+M13</f>
        <v>0</v>
      </c>
      <c r="P13" s="208"/>
      <c r="Q13" s="207">
        <f>(O13*P13)+O13</f>
        <v>0</v>
      </c>
    </row>
    <row r="14" spans="1:17" ht="15" customHeight="1">
      <c r="A14" s="315" t="s">
        <v>86</v>
      </c>
      <c r="B14" s="315"/>
      <c r="C14" s="315"/>
      <c r="D14" s="204">
        <v>0</v>
      </c>
      <c r="E14" s="15">
        <f>SUM($E$10*D14)</f>
        <v>0</v>
      </c>
      <c r="G14" s="222" t="s">
        <v>379</v>
      </c>
      <c r="H14" s="212"/>
      <c r="I14" s="207">
        <f>(E14*H14)+E14</f>
        <v>0</v>
      </c>
      <c r="J14" s="208"/>
      <c r="K14" s="207">
        <f>(I14*J14)+I14</f>
        <v>0</v>
      </c>
      <c r="L14" s="208"/>
      <c r="M14" s="207">
        <f>(K14*L14)+K14</f>
        <v>0</v>
      </c>
      <c r="N14" s="208"/>
      <c r="O14" s="207">
        <f>(M14*N14)+M14</f>
        <v>0</v>
      </c>
      <c r="P14" s="208"/>
      <c r="Q14" s="207">
        <f>(O14*P14)+O14</f>
        <v>0</v>
      </c>
    </row>
    <row r="15" spans="1:17" ht="15" customHeight="1">
      <c r="A15" s="315" t="s">
        <v>5</v>
      </c>
      <c r="B15" s="315"/>
      <c r="C15" s="315"/>
      <c r="D15" s="204">
        <v>0</v>
      </c>
      <c r="E15" s="15">
        <f>SUM($E$10*D15)</f>
        <v>0</v>
      </c>
      <c r="G15" s="222" t="s">
        <v>379</v>
      </c>
      <c r="H15" s="212"/>
      <c r="I15" s="207">
        <f>(E15*H15)+E15</f>
        <v>0</v>
      </c>
      <c r="J15" s="208"/>
      <c r="K15" s="207">
        <f>(I15*J15)+I15</f>
        <v>0</v>
      </c>
      <c r="L15" s="208"/>
      <c r="M15" s="207">
        <f>(K15*L15)+K15</f>
        <v>0</v>
      </c>
      <c r="N15" s="208"/>
      <c r="O15" s="207">
        <f>(M15*N15)+M15</f>
        <v>0</v>
      </c>
      <c r="P15" s="208"/>
      <c r="Q15" s="207">
        <f>(O15*P15)+O15</f>
        <v>0</v>
      </c>
    </row>
    <row r="16" spans="1:17" ht="15" customHeight="1">
      <c r="A16" s="315" t="s">
        <v>6</v>
      </c>
      <c r="B16" s="315"/>
      <c r="C16" s="315"/>
      <c r="D16" s="204">
        <v>0</v>
      </c>
      <c r="E16" s="15">
        <f>SUM($E$10*D16)</f>
        <v>0</v>
      </c>
      <c r="G16" s="222" t="s">
        <v>379</v>
      </c>
      <c r="H16" s="212"/>
      <c r="I16" s="207">
        <f>(E16*H16)+E16</f>
        <v>0</v>
      </c>
      <c r="J16" s="208"/>
      <c r="K16" s="207">
        <f>(I16*J16)+I16</f>
        <v>0</v>
      </c>
      <c r="L16" s="208"/>
      <c r="M16" s="207">
        <f>(K16*L16)+K16</f>
        <v>0</v>
      </c>
      <c r="N16" s="208"/>
      <c r="O16" s="207">
        <f>(M16*N16)+M16</f>
        <v>0</v>
      </c>
      <c r="P16" s="208"/>
      <c r="Q16" s="207">
        <f>(O16*P16)+O16</f>
        <v>0</v>
      </c>
    </row>
    <row r="17" spans="1:17" ht="15" customHeight="1">
      <c r="A17" s="331" t="s">
        <v>89</v>
      </c>
      <c r="B17" s="332"/>
      <c r="C17" s="333"/>
      <c r="D17" s="204">
        <v>0</v>
      </c>
      <c r="E17" s="15">
        <f>SUM($E$10*D17)</f>
        <v>0</v>
      </c>
      <c r="G17" s="222" t="s">
        <v>379</v>
      </c>
      <c r="H17" s="212"/>
      <c r="I17" s="207">
        <f>(E17*H17)+E17</f>
        <v>0</v>
      </c>
      <c r="J17" s="208"/>
      <c r="K17" s="207">
        <f>(I17*J17)+I17</f>
        <v>0</v>
      </c>
      <c r="L17" s="208"/>
      <c r="M17" s="207">
        <f>(K17*L17)+K17</f>
        <v>0</v>
      </c>
      <c r="N17" s="208"/>
      <c r="O17" s="207">
        <f>(M17*N17)+M17</f>
        <v>0</v>
      </c>
      <c r="P17" s="208"/>
      <c r="Q17" s="207">
        <f>(O17*P17)+O17</f>
        <v>0</v>
      </c>
    </row>
    <row r="18" spans="1:17" ht="15" customHeight="1">
      <c r="A18" s="309" t="s">
        <v>78</v>
      </c>
      <c r="B18" s="309"/>
      <c r="C18" s="309"/>
      <c r="D18" s="147"/>
      <c r="E18" s="148">
        <f>SUM(E13:E17)</f>
        <v>0</v>
      </c>
      <c r="G18" s="203"/>
      <c r="H18" s="203"/>
      <c r="I18" s="148">
        <f>SUM(I13:I17)</f>
        <v>0</v>
      </c>
      <c r="J18" s="203"/>
      <c r="K18" s="148">
        <f>SUM(K13:K17)</f>
        <v>0</v>
      </c>
      <c r="L18" s="203"/>
      <c r="M18" s="148">
        <f>SUM(M13:M17)</f>
        <v>0</v>
      </c>
      <c r="N18" s="203"/>
      <c r="O18" s="148">
        <f>SUM(O13:O17)</f>
        <v>0</v>
      </c>
      <c r="P18" s="203"/>
      <c r="Q18" s="148">
        <f>SUM(Q13:Q17)</f>
        <v>0</v>
      </c>
    </row>
    <row r="19" spans="1:17" ht="15" customHeight="1">
      <c r="D19" s="19"/>
      <c r="E19" s="20"/>
      <c r="G19" s="203"/>
      <c r="H19" s="203"/>
      <c r="I19" s="203"/>
      <c r="J19" s="203"/>
      <c r="K19" s="203"/>
      <c r="L19" s="203"/>
      <c r="M19" s="203"/>
      <c r="N19" s="203"/>
      <c r="O19" s="203"/>
      <c r="P19" s="203"/>
      <c r="Q19" s="203"/>
    </row>
    <row r="20" spans="1:17" s="8" customFormat="1" ht="26.25" customHeight="1">
      <c r="A20" s="311" t="s">
        <v>73</v>
      </c>
      <c r="B20" s="313"/>
      <c r="C20" s="312"/>
      <c r="D20" s="98" t="s">
        <v>82</v>
      </c>
      <c r="E20" s="97" t="s">
        <v>84</v>
      </c>
      <c r="G20" s="97"/>
      <c r="H20" s="97"/>
      <c r="I20" s="97"/>
      <c r="J20" s="97"/>
      <c r="K20" s="97"/>
      <c r="L20" s="97"/>
      <c r="M20" s="97"/>
      <c r="N20" s="97"/>
      <c r="O20" s="97"/>
      <c r="P20" s="97"/>
      <c r="Q20" s="97"/>
    </row>
    <row r="21" spans="1:17" ht="15" customHeight="1">
      <c r="A21" s="315" t="s">
        <v>7</v>
      </c>
      <c r="B21" s="315"/>
      <c r="C21" s="315"/>
      <c r="D21" s="213" t="e">
        <f>E21/$E$35</f>
        <v>#DIV/0!</v>
      </c>
      <c r="E21" s="210">
        <v>0</v>
      </c>
      <c r="G21" s="203" t="s">
        <v>379</v>
      </c>
      <c r="H21" s="212"/>
      <c r="I21" s="207">
        <f>(E21*H21)+E21</f>
        <v>0</v>
      </c>
      <c r="J21" s="208"/>
      <c r="K21" s="207">
        <f>(I21*J21)+I21</f>
        <v>0</v>
      </c>
      <c r="L21" s="208"/>
      <c r="M21" s="207">
        <f>(K21*L21)+K21</f>
        <v>0</v>
      </c>
      <c r="N21" s="208"/>
      <c r="O21" s="207">
        <f>(M21*N21)+M21</f>
        <v>0</v>
      </c>
      <c r="P21" s="208"/>
      <c r="Q21" s="207">
        <f>(O21*P21)+O21</f>
        <v>0</v>
      </c>
    </row>
    <row r="22" spans="1:17" ht="15" customHeight="1">
      <c r="A22" s="314" t="s">
        <v>8</v>
      </c>
      <c r="B22" s="315"/>
      <c r="C22" s="315"/>
      <c r="D22" s="213" t="e">
        <f>E22/$E$35</f>
        <v>#DIV/0!</v>
      </c>
      <c r="E22" s="210">
        <v>0</v>
      </c>
      <c r="G22" s="203" t="s">
        <v>379</v>
      </c>
      <c r="H22" s="212"/>
      <c r="I22" s="207">
        <f>(E22*H22)+E22</f>
        <v>0</v>
      </c>
      <c r="J22" s="208"/>
      <c r="K22" s="207">
        <f>(I22*J22)+I22</f>
        <v>0</v>
      </c>
      <c r="L22" s="208"/>
      <c r="M22" s="207">
        <f>(K22*L22)+K22</f>
        <v>0</v>
      </c>
      <c r="N22" s="208"/>
      <c r="O22" s="207">
        <f>(M22*N22)+M22</f>
        <v>0</v>
      </c>
      <c r="P22" s="208"/>
      <c r="Q22" s="207">
        <f>(O22*P22)+O22</f>
        <v>0</v>
      </c>
    </row>
    <row r="23" spans="1:17" ht="15" customHeight="1">
      <c r="A23" s="315" t="s">
        <v>9</v>
      </c>
      <c r="B23" s="315"/>
      <c r="C23" s="315"/>
      <c r="D23" s="213" t="e">
        <f>E23/$E$35</f>
        <v>#DIV/0!</v>
      </c>
      <c r="E23" s="210">
        <v>0</v>
      </c>
      <c r="G23" s="203" t="s">
        <v>379</v>
      </c>
      <c r="H23" s="212"/>
      <c r="I23" s="209">
        <f>(E23*H23)+E23</f>
        <v>0</v>
      </c>
      <c r="J23" s="208"/>
      <c r="K23" s="207">
        <f>(I23*J23)+I23</f>
        <v>0</v>
      </c>
      <c r="L23" s="208"/>
      <c r="M23" s="207">
        <f>(K23*L23)+K23</f>
        <v>0</v>
      </c>
      <c r="N23" s="208"/>
      <c r="O23" s="207">
        <f>(M23*N23)+M23</f>
        <v>0</v>
      </c>
      <c r="P23" s="208"/>
      <c r="Q23" s="207">
        <f>(O23*P23)+O23</f>
        <v>0</v>
      </c>
    </row>
    <row r="24" spans="1:17" ht="15" customHeight="1">
      <c r="A24" s="321" t="s">
        <v>10</v>
      </c>
      <c r="B24" s="330"/>
      <c r="C24" s="322"/>
      <c r="D24" s="204">
        <v>0</v>
      </c>
      <c r="E24" s="14">
        <f>D24*$E$10</f>
        <v>0</v>
      </c>
      <c r="G24" s="203" t="s">
        <v>380</v>
      </c>
      <c r="H24" s="212"/>
      <c r="I24" s="207">
        <f>(E24*H24)+E24</f>
        <v>0</v>
      </c>
      <c r="J24" s="208"/>
      <c r="K24" s="207">
        <f>(I24*J24)+I24</f>
        <v>0</v>
      </c>
      <c r="L24" s="208"/>
      <c r="M24" s="207">
        <f>(K24*L24)+K24</f>
        <v>0</v>
      </c>
      <c r="N24" s="208"/>
      <c r="O24" s="207">
        <f>(M24*N24)+M24</f>
        <v>0</v>
      </c>
      <c r="P24" s="208"/>
      <c r="Q24" s="207">
        <f>(O24*P24)+O24</f>
        <v>0</v>
      </c>
    </row>
    <row r="25" spans="1:17" ht="15" customHeight="1">
      <c r="A25" s="331" t="s">
        <v>87</v>
      </c>
      <c r="B25" s="332"/>
      <c r="C25" s="333"/>
      <c r="D25" s="213" t="e">
        <f>E25/$E$35</f>
        <v>#DIV/0!</v>
      </c>
      <c r="E25" s="210">
        <v>0</v>
      </c>
      <c r="G25" s="203" t="s">
        <v>379</v>
      </c>
      <c r="H25" s="212"/>
      <c r="I25" s="209">
        <f>(E25*H25)+E25</f>
        <v>0</v>
      </c>
      <c r="J25" s="208"/>
      <c r="K25" s="207">
        <f>(I25*J25)+I25</f>
        <v>0</v>
      </c>
      <c r="L25" s="208"/>
      <c r="M25" s="207">
        <f>(K25*L25)+K25</f>
        <v>0</v>
      </c>
      <c r="N25" s="208"/>
      <c r="O25" s="207">
        <f>(M25*N25)+M25</f>
        <v>0</v>
      </c>
      <c r="P25" s="208"/>
      <c r="Q25" s="207">
        <f>(O25*P25)+O25</f>
        <v>0</v>
      </c>
    </row>
    <row r="26" spans="1:17" ht="15" customHeight="1">
      <c r="A26" s="309" t="s">
        <v>79</v>
      </c>
      <c r="B26" s="309"/>
      <c r="C26" s="309"/>
      <c r="D26" s="144" t="s">
        <v>3</v>
      </c>
      <c r="E26" s="146">
        <f>SUM(E21:E25)</f>
        <v>0</v>
      </c>
      <c r="G26" s="203"/>
      <c r="H26" s="203"/>
      <c r="I26" s="146">
        <f>SUM(I21:I25)</f>
        <v>0</v>
      </c>
      <c r="J26" s="203"/>
      <c r="K26" s="146">
        <f>SUM(K21:K25)</f>
        <v>0</v>
      </c>
      <c r="L26" s="203"/>
      <c r="M26" s="146">
        <f>SUM(M21:M25)</f>
        <v>0</v>
      </c>
      <c r="N26" s="203"/>
      <c r="O26" s="146">
        <f>SUM(O21:O25)</f>
        <v>0</v>
      </c>
      <c r="P26" s="203"/>
      <c r="Q26" s="146">
        <f>SUM(Q21:Q25)</f>
        <v>0</v>
      </c>
    </row>
    <row r="27" spans="1:17" ht="15" customHeight="1">
      <c r="A27" s="21"/>
      <c r="B27" s="21"/>
      <c r="C27" s="21"/>
      <c r="D27" s="22"/>
      <c r="E27" s="2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</row>
    <row r="28" spans="1:17" s="8" customFormat="1" ht="26.25" customHeight="1">
      <c r="A28" s="311" t="s">
        <v>74</v>
      </c>
      <c r="B28" s="313"/>
      <c r="C28" s="312"/>
      <c r="D28" s="98" t="s">
        <v>82</v>
      </c>
      <c r="E28" s="97" t="s">
        <v>84</v>
      </c>
      <c r="G28" s="97"/>
      <c r="H28" s="97"/>
      <c r="I28" s="97"/>
      <c r="J28" s="97"/>
      <c r="K28" s="97"/>
      <c r="L28" s="97"/>
      <c r="M28" s="97"/>
      <c r="N28" s="97"/>
      <c r="O28" s="97"/>
      <c r="P28" s="97"/>
      <c r="Q28" s="97"/>
    </row>
    <row r="29" spans="1:17" ht="15" customHeight="1">
      <c r="A29" s="314" t="s">
        <v>11</v>
      </c>
      <c r="B29" s="315"/>
      <c r="C29" s="315"/>
      <c r="D29" s="204">
        <v>0</v>
      </c>
      <c r="E29" s="14">
        <f>D29*($E$18+$E$10)</f>
        <v>0</v>
      </c>
      <c r="G29" s="222" t="s">
        <v>379</v>
      </c>
      <c r="H29" s="212"/>
      <c r="I29" s="207">
        <f>(E29*H29)+E29</f>
        <v>0</v>
      </c>
      <c r="J29" s="208"/>
      <c r="K29" s="207">
        <f>(I29*J29)+I29</f>
        <v>0</v>
      </c>
      <c r="L29" s="208"/>
      <c r="M29" s="207">
        <f>(K29*L29)+K29</f>
        <v>0</v>
      </c>
      <c r="N29" s="208"/>
      <c r="O29" s="207">
        <f>(M29*N29)+M29</f>
        <v>0</v>
      </c>
      <c r="P29" s="208"/>
      <c r="Q29" s="207">
        <f>(O29*P29)+O29</f>
        <v>0</v>
      </c>
    </row>
    <row r="30" spans="1:17" ht="15" customHeight="1">
      <c r="A30" s="314" t="s">
        <v>75</v>
      </c>
      <c r="B30" s="315"/>
      <c r="C30" s="315"/>
      <c r="D30" s="211" t="e">
        <f>E30/$E$35</f>
        <v>#DIV/0!</v>
      </c>
      <c r="E30" s="210">
        <v>0</v>
      </c>
      <c r="G30" s="203" t="s">
        <v>379</v>
      </c>
      <c r="H30" s="212"/>
      <c r="I30" s="209">
        <f>(E30*H30)+E30</f>
        <v>0</v>
      </c>
      <c r="J30" s="208"/>
      <c r="K30" s="207">
        <f>(I30*J30)+I30</f>
        <v>0</v>
      </c>
      <c r="L30" s="208"/>
      <c r="M30" s="207">
        <f>(K30*L30)+K30</f>
        <v>0</v>
      </c>
      <c r="N30" s="208"/>
      <c r="O30" s="207">
        <f>(M30*N30)+M30</f>
        <v>0</v>
      </c>
      <c r="P30" s="208"/>
      <c r="Q30" s="207">
        <f>(O30*P30)+O30</f>
        <v>0</v>
      </c>
    </row>
    <row r="31" spans="1:17" ht="15" customHeight="1">
      <c r="A31" s="331" t="s">
        <v>88</v>
      </c>
      <c r="B31" s="332"/>
      <c r="C31" s="333"/>
      <c r="D31" s="213" t="e">
        <f>E31/$E$35</f>
        <v>#DIV/0!</v>
      </c>
      <c r="E31" s="210">
        <v>0</v>
      </c>
      <c r="G31" s="203" t="s">
        <v>379</v>
      </c>
      <c r="H31" s="212"/>
      <c r="I31" s="209">
        <f>(E31*H31)+E31</f>
        <v>0</v>
      </c>
      <c r="J31" s="208"/>
      <c r="K31" s="207">
        <f>(I31*J31)+I31</f>
        <v>0</v>
      </c>
      <c r="L31" s="208"/>
      <c r="M31" s="207">
        <f>(K31*L31)+K31</f>
        <v>0</v>
      </c>
      <c r="N31" s="208"/>
      <c r="O31" s="207">
        <f>(M31*N31)+M31</f>
        <v>0</v>
      </c>
      <c r="P31" s="208"/>
      <c r="Q31" s="207">
        <f>(O31*P31)+O31</f>
        <v>0</v>
      </c>
    </row>
    <row r="32" spans="1:17" ht="15" customHeight="1">
      <c r="A32" s="315" t="s">
        <v>76</v>
      </c>
      <c r="B32" s="315"/>
      <c r="C32" s="315"/>
      <c r="D32" s="211" t="e">
        <f>E32/$E$35</f>
        <v>#DIV/0!</v>
      </c>
      <c r="E32" s="210">
        <v>0</v>
      </c>
      <c r="G32" s="203"/>
      <c r="H32" s="203"/>
      <c r="I32" s="209">
        <f>(E32*H32)+E32</f>
        <v>0</v>
      </c>
      <c r="J32" s="208"/>
      <c r="K32" s="207">
        <f>(I32*J32)+I32</f>
        <v>0</v>
      </c>
      <c r="L32" s="208"/>
      <c r="M32" s="207">
        <f>(K32*L32)+K32</f>
        <v>0</v>
      </c>
      <c r="N32" s="208"/>
      <c r="O32" s="207">
        <f>(M32*N32)+M32</f>
        <v>0</v>
      </c>
      <c r="P32" s="208"/>
      <c r="Q32" s="207">
        <f>(O32*P32)+O32</f>
        <v>0</v>
      </c>
    </row>
    <row r="33" spans="1:17" ht="15" customHeight="1">
      <c r="A33" s="309" t="s">
        <v>80</v>
      </c>
      <c r="B33" s="309"/>
      <c r="C33" s="309"/>
      <c r="D33" s="144"/>
      <c r="E33" s="145">
        <f>SUM(E29:E32)</f>
        <v>0</v>
      </c>
      <c r="G33" s="203"/>
      <c r="H33" s="203"/>
      <c r="I33" s="145">
        <f>SUM(I29:I32)</f>
        <v>0</v>
      </c>
      <c r="J33" s="203"/>
      <c r="K33" s="145">
        <f>SUM(K29:K32)</f>
        <v>0</v>
      </c>
      <c r="L33" s="203"/>
      <c r="M33" s="145">
        <f>SUM(M29:M32)</f>
        <v>0</v>
      </c>
      <c r="N33" s="203"/>
      <c r="O33" s="145">
        <f>SUM(O29:O32)</f>
        <v>0</v>
      </c>
      <c r="P33" s="203"/>
      <c r="Q33" s="145">
        <f>SUM(Q29:Q32)</f>
        <v>0</v>
      </c>
    </row>
    <row r="34" spans="1:17" ht="15" customHeight="1">
      <c r="A34" s="21"/>
      <c r="B34" s="21"/>
      <c r="C34" s="21"/>
      <c r="D34" s="22"/>
      <c r="E34" s="24"/>
      <c r="H34" s="203"/>
      <c r="I34" s="203"/>
      <c r="J34" s="203"/>
      <c r="K34" s="203"/>
      <c r="L34" s="203"/>
      <c r="M34" s="203"/>
      <c r="N34" s="203"/>
      <c r="O34" s="203"/>
      <c r="P34" s="203"/>
      <c r="Q34" s="203"/>
    </row>
    <row r="35" spans="1:17" ht="26.25" customHeight="1">
      <c r="A35" s="327" t="s">
        <v>99</v>
      </c>
      <c r="B35" s="328"/>
      <c r="C35" s="328"/>
      <c r="D35" s="329"/>
      <c r="E35" s="143">
        <f>E33+E26+E18+E10</f>
        <v>0</v>
      </c>
      <c r="G35" s="28"/>
      <c r="H35" s="203"/>
      <c r="I35" s="143">
        <f>I33+I26+I18+I10</f>
        <v>0</v>
      </c>
      <c r="J35" s="203"/>
      <c r="K35" s="143">
        <f>K33+K26+K18+K10</f>
        <v>0</v>
      </c>
      <c r="L35" s="203"/>
      <c r="M35" s="143">
        <f>M33+M26+M18+M10</f>
        <v>0</v>
      </c>
      <c r="N35" s="203"/>
      <c r="O35" s="143">
        <f>O33+O26+O18+O10</f>
        <v>0</v>
      </c>
      <c r="P35" s="203"/>
      <c r="Q35" s="143">
        <f>Q33+Q26+Q18+Q10</f>
        <v>0</v>
      </c>
    </row>
    <row r="36" spans="1:17" ht="15" customHeight="1">
      <c r="D36" s="19"/>
      <c r="E36" s="20"/>
    </row>
    <row r="37" spans="1:17" ht="26.25" customHeight="1">
      <c r="A37" s="99" t="s">
        <v>83</v>
      </c>
      <c r="B37" s="100"/>
      <c r="C37" s="98" t="s">
        <v>98</v>
      </c>
      <c r="D37" s="98" t="s">
        <v>96</v>
      </c>
      <c r="E37" s="98" t="s">
        <v>97</v>
      </c>
      <c r="H37" s="98" t="s">
        <v>378</v>
      </c>
      <c r="I37" s="206" t="e">
        <f>(I35/E35)-100%</f>
        <v>#DIV/0!</v>
      </c>
      <c r="J37" s="98"/>
      <c r="K37" s="206" t="e">
        <f>(K35/I35)-100%</f>
        <v>#DIV/0!</v>
      </c>
      <c r="L37" s="98"/>
      <c r="M37" s="206" t="e">
        <f>(M35/K35)-100%</f>
        <v>#DIV/0!</v>
      </c>
      <c r="N37" s="98"/>
      <c r="O37" s="206" t="e">
        <f>(O35/M35)-100%</f>
        <v>#DIV/0!</v>
      </c>
      <c r="P37" s="98"/>
      <c r="Q37" s="206" t="e">
        <f>(Q35/O35)-100%</f>
        <v>#DIV/0!</v>
      </c>
    </row>
    <row r="38" spans="1:17" ht="15" customHeight="1">
      <c r="A38" s="203" t="s">
        <v>85</v>
      </c>
      <c r="B38" s="203" t="s">
        <v>91</v>
      </c>
      <c r="C38" s="25">
        <v>0</v>
      </c>
      <c r="D38" s="26">
        <f>SUM($E$10,$E$18,$E$26,$E$33)+(C38*($E$18+$E$10))</f>
        <v>0</v>
      </c>
      <c r="E38" s="27">
        <f>D38*121%</f>
        <v>0</v>
      </c>
      <c r="F38" s="28"/>
      <c r="H38" s="203"/>
      <c r="I38" s="12" t="e">
        <f>(D38*$I$37)+D38</f>
        <v>#DIV/0!</v>
      </c>
      <c r="J38" s="203"/>
      <c r="K38" s="12" t="e">
        <f>(I38*$K$37)+I38</f>
        <v>#DIV/0!</v>
      </c>
      <c r="L38" s="203"/>
      <c r="M38" s="12" t="e">
        <f>(K38*$M$37)+K38</f>
        <v>#DIV/0!</v>
      </c>
      <c r="N38" s="203"/>
      <c r="O38" s="12" t="e">
        <f>(M38*$O$37)+M38</f>
        <v>#DIV/0!</v>
      </c>
      <c r="P38" s="203"/>
      <c r="Q38" s="12" t="e">
        <f>(O38*$Q$37)+O38</f>
        <v>#DIV/0!</v>
      </c>
    </row>
    <row r="39" spans="1:17" ht="15" customHeight="1">
      <c r="A39" s="203" t="s">
        <v>90</v>
      </c>
      <c r="B39" s="203" t="s">
        <v>92</v>
      </c>
      <c r="C39" s="25">
        <v>0.3</v>
      </c>
      <c r="D39" s="26">
        <f>SUM($E$10,$E$18,$E$26,$E$33)+(C39*($E$18+$E$10))</f>
        <v>0</v>
      </c>
      <c r="E39" s="27">
        <f>D39*121%</f>
        <v>0</v>
      </c>
      <c r="F39" s="28"/>
      <c r="H39" s="12"/>
      <c r="I39" s="12" t="e">
        <f>(D39*$I$37)+D39</f>
        <v>#DIV/0!</v>
      </c>
      <c r="J39" s="203"/>
      <c r="K39" s="12" t="e">
        <f>(I39*$K$37)+I39</f>
        <v>#DIV/0!</v>
      </c>
      <c r="L39" s="203"/>
      <c r="M39" s="12" t="e">
        <f>(K39*$M$37)+K39</f>
        <v>#DIV/0!</v>
      </c>
      <c r="N39" s="203"/>
      <c r="O39" s="12" t="e">
        <f>(M39*$O$37)+M39</f>
        <v>#DIV/0!</v>
      </c>
      <c r="P39" s="203"/>
      <c r="Q39" s="12" t="e">
        <f>(O39*$Q$37)+O39</f>
        <v>#DIV/0!</v>
      </c>
    </row>
    <row r="40" spans="1:17" ht="15" customHeight="1">
      <c r="A40" s="203" t="s">
        <v>24</v>
      </c>
      <c r="B40" s="203" t="s">
        <v>93</v>
      </c>
      <c r="C40" s="25">
        <v>0.5</v>
      </c>
      <c r="D40" s="26">
        <f>SUM($E$10,$E$18,$E$26,$E$33)+(C40*($E$18+$E$10))</f>
        <v>0</v>
      </c>
      <c r="E40" s="27">
        <f>D40*121%</f>
        <v>0</v>
      </c>
      <c r="F40" s="28"/>
      <c r="H40" s="203"/>
      <c r="I40" s="12" t="e">
        <f>(D40*$I$37)+D40</f>
        <v>#DIV/0!</v>
      </c>
      <c r="J40" s="203"/>
      <c r="K40" s="12" t="e">
        <f>(I40*$K$37)+I40</f>
        <v>#DIV/0!</v>
      </c>
      <c r="L40" s="203"/>
      <c r="M40" s="12" t="e">
        <f>(K40*$M$37)+K40</f>
        <v>#DIV/0!</v>
      </c>
      <c r="N40" s="203"/>
      <c r="O40" s="12" t="e">
        <f>(M40*$O$37)+M40</f>
        <v>#DIV/0!</v>
      </c>
      <c r="P40" s="203"/>
      <c r="Q40" s="12" t="e">
        <f>(O40*$Q$37)+O40</f>
        <v>#DIV/0!</v>
      </c>
    </row>
    <row r="41" spans="1:17" ht="15" customHeight="1">
      <c r="A41" s="203" t="s">
        <v>94</v>
      </c>
      <c r="B41" s="205" t="s">
        <v>95</v>
      </c>
      <c r="C41" s="25">
        <v>1.5</v>
      </c>
      <c r="D41" s="26">
        <f>SUM($E$10,$E$18,$E$26,$E$33)+(C41*($E$18+$E$10))</f>
        <v>0</v>
      </c>
      <c r="E41" s="27">
        <f>D41*121%</f>
        <v>0</v>
      </c>
      <c r="F41" s="28"/>
      <c r="H41" s="203"/>
      <c r="I41" s="12" t="e">
        <f>(D41*$I$37)+D41</f>
        <v>#DIV/0!</v>
      </c>
      <c r="J41" s="203"/>
      <c r="K41" s="12" t="e">
        <f>(I41*$K$37)+I41</f>
        <v>#DIV/0!</v>
      </c>
      <c r="L41" s="203"/>
      <c r="M41" s="12" t="e">
        <f>(K41*$M$37)+K41</f>
        <v>#DIV/0!</v>
      </c>
      <c r="N41" s="203"/>
      <c r="O41" s="12" t="e">
        <f>(M41*$O$37)+M41</f>
        <v>#DIV/0!</v>
      </c>
      <c r="P41" s="203"/>
      <c r="Q41" s="12" t="e">
        <f>(O41*$Q$37)+O41</f>
        <v>#DIV/0!</v>
      </c>
    </row>
    <row r="42" spans="1:17" ht="15" customHeight="1">
      <c r="E42" s="4"/>
    </row>
    <row r="43" spans="1:17" ht="15" customHeight="1">
      <c r="E43" s="4"/>
    </row>
    <row r="44" spans="1:17" ht="15" customHeight="1">
      <c r="E44" s="4"/>
    </row>
    <row r="45" spans="1:17" ht="15" customHeight="1">
      <c r="E45" s="4"/>
    </row>
    <row r="46" spans="1:17" ht="15" customHeight="1">
      <c r="E46" s="4"/>
    </row>
    <row r="47" spans="1:17" ht="15" customHeight="1">
      <c r="E47" s="4"/>
    </row>
    <row r="48" spans="1:17" ht="15" customHeight="1">
      <c r="E48" s="4"/>
    </row>
    <row r="49" spans="5:5" ht="15" customHeight="1">
      <c r="E49" s="4"/>
    </row>
    <row r="50" spans="5:5" ht="15" customHeight="1">
      <c r="E50" s="4"/>
    </row>
    <row r="51" spans="5:5" ht="15" customHeight="1">
      <c r="E51" s="4"/>
    </row>
    <row r="52" spans="5:5" ht="15" customHeight="1">
      <c r="E52" s="4"/>
    </row>
    <row r="53" spans="5:5" ht="15" customHeight="1">
      <c r="E53" s="4"/>
    </row>
    <row r="54" spans="5:5" ht="15" customHeight="1">
      <c r="E54" s="4"/>
    </row>
    <row r="55" spans="5:5" ht="15" customHeight="1">
      <c r="E55" s="4"/>
    </row>
    <row r="56" spans="5:5" ht="15" customHeight="1">
      <c r="E56" s="4"/>
    </row>
    <row r="57" spans="5:5" ht="15" customHeight="1">
      <c r="E57" s="4"/>
    </row>
    <row r="58" spans="5:5" ht="15" customHeight="1">
      <c r="E58" s="4"/>
    </row>
    <row r="59" spans="5:5" ht="15" customHeight="1">
      <c r="E59" s="4"/>
    </row>
    <row r="60" spans="5:5" ht="15" customHeight="1">
      <c r="E60" s="4"/>
    </row>
  </sheetData>
  <mergeCells count="36">
    <mergeCell ref="A35:D35"/>
    <mergeCell ref="A14:C14"/>
    <mergeCell ref="A24:C24"/>
    <mergeCell ref="A31:C31"/>
    <mergeCell ref="A25:C25"/>
    <mergeCell ref="A28:C28"/>
    <mergeCell ref="A33:C33"/>
    <mergeCell ref="A26:C26"/>
    <mergeCell ref="A29:C29"/>
    <mergeCell ref="A30:C30"/>
    <mergeCell ref="A15:C15"/>
    <mergeCell ref="A16:C16"/>
    <mergeCell ref="A17:C17"/>
    <mergeCell ref="A32:C32"/>
    <mergeCell ref="A21:C21"/>
    <mergeCell ref="A23:C23"/>
    <mergeCell ref="A20:C20"/>
    <mergeCell ref="A7:B7"/>
    <mergeCell ref="A22:C22"/>
    <mergeCell ref="A10:C10"/>
    <mergeCell ref="G2:Q2"/>
    <mergeCell ref="J3:K3"/>
    <mergeCell ref="L3:M3"/>
    <mergeCell ref="N3:O3"/>
    <mergeCell ref="P3:Q3"/>
    <mergeCell ref="H3:I3"/>
    <mergeCell ref="A1:E1"/>
    <mergeCell ref="A18:C18"/>
    <mergeCell ref="A2:E2"/>
    <mergeCell ref="A4:B4"/>
    <mergeCell ref="A12:C12"/>
    <mergeCell ref="A13:C13"/>
    <mergeCell ref="A5:B5"/>
    <mergeCell ref="A9:C9"/>
    <mergeCell ref="A8:B8"/>
    <mergeCell ref="A6:B6"/>
  </mergeCells>
  <conditionalFormatting sqref="E9">
    <cfRule type="containsText" dxfId="198" priority="1" operator="containsText" text="geen">
      <formula>NOT(ISERROR(SEARCH("geen",E9)))</formula>
    </cfRule>
  </conditionalFormatting>
  <pageMargins left="0.27559055118110237" right="0.31496062992125984" top="1.5748031496062993" bottom="0.55118110236220474" header="0.51181102362204722" footer="0.51181102362204722"/>
  <pageSetup paperSize="9" scale="63" orientation="portrait" r:id="rId1"/>
  <headerFooter alignWithMargins="0">
    <oddFooter>&amp;L&amp;F&amp;C&amp;D&amp;R&amp;A</oddFooter>
  </headerFooter>
  <colBreaks count="1" manualBreakCount="1">
    <brk id="6" max="40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14999847407452621"/>
    <pageSetUpPr fitToPage="1"/>
  </sheetPr>
  <dimension ref="A1:S57"/>
  <sheetViews>
    <sheetView workbookViewId="0">
      <selection activeCell="B1" sqref="B1"/>
    </sheetView>
  </sheetViews>
  <sheetFormatPr defaultColWidth="9.140625" defaultRowHeight="12.75"/>
  <cols>
    <col min="1" max="1" width="3.28515625" style="238" bestFit="1" customWidth="1"/>
    <col min="2" max="2" width="16.85546875" style="270" bestFit="1" customWidth="1"/>
    <col min="3" max="3" width="13.42578125" style="238" bestFit="1" customWidth="1"/>
    <col min="4" max="5" width="14" style="238" customWidth="1"/>
    <col min="6" max="6" width="28.42578125" style="238" customWidth="1"/>
    <col min="7" max="7" width="14.5703125" style="238" customWidth="1"/>
    <col min="8" max="9" width="14" style="238" customWidth="1"/>
    <col min="10" max="10" width="41.5703125" style="270" bestFit="1" customWidth="1"/>
    <col min="11" max="11" width="12.5703125" style="238" customWidth="1"/>
    <col min="12" max="12" width="12" style="270" customWidth="1"/>
    <col min="13" max="13" width="11.28515625" style="270" bestFit="1" customWidth="1"/>
    <col min="14" max="14" width="15" style="238" customWidth="1"/>
    <col min="15" max="15" width="12.28515625" style="238" bestFit="1" customWidth="1"/>
    <col min="16" max="16" width="10.140625" style="238" customWidth="1"/>
    <col min="17" max="17" width="11.28515625" style="238" customWidth="1"/>
    <col min="18" max="18" width="16.42578125" style="238" customWidth="1"/>
    <col min="19" max="19" width="22.140625" style="271" bestFit="1" customWidth="1"/>
    <col min="20" max="16384" width="9.140625" style="263"/>
  </cols>
  <sheetData>
    <row r="1" spans="1:19" ht="45" customHeight="1">
      <c r="A1" s="262"/>
      <c r="B1" s="262" t="s">
        <v>142</v>
      </c>
      <c r="C1" s="262" t="s">
        <v>257</v>
      </c>
      <c r="D1" s="262" t="s">
        <v>1244</v>
      </c>
      <c r="E1" s="262" t="s">
        <v>258</v>
      </c>
      <c r="F1" s="262" t="s">
        <v>259</v>
      </c>
      <c r="G1" s="262" t="s">
        <v>1245</v>
      </c>
      <c r="H1" s="262" t="s">
        <v>1246</v>
      </c>
      <c r="I1" s="262" t="s">
        <v>260</v>
      </c>
      <c r="J1" s="262" t="s">
        <v>219</v>
      </c>
      <c r="K1" s="262" t="s">
        <v>261</v>
      </c>
      <c r="L1" s="262" t="s">
        <v>262</v>
      </c>
      <c r="M1" s="262" t="s">
        <v>263</v>
      </c>
      <c r="N1" s="262" t="s">
        <v>264</v>
      </c>
      <c r="O1" s="262" t="s">
        <v>265</v>
      </c>
      <c r="P1" s="262" t="s">
        <v>266</v>
      </c>
      <c r="Q1" s="262" t="s">
        <v>1247</v>
      </c>
      <c r="R1" s="262" t="s">
        <v>267</v>
      </c>
      <c r="S1" s="275" t="s">
        <v>268</v>
      </c>
    </row>
    <row r="2" spans="1:19">
      <c r="A2" s="264">
        <v>1</v>
      </c>
      <c r="B2" s="265" t="s">
        <v>1239</v>
      </c>
      <c r="C2" s="235">
        <v>21727</v>
      </c>
      <c r="D2" s="235">
        <v>38937</v>
      </c>
      <c r="E2" s="235">
        <v>38937</v>
      </c>
      <c r="F2" s="236" t="s">
        <v>1248</v>
      </c>
      <c r="G2" s="266">
        <v>1.75</v>
      </c>
      <c r="H2" s="235"/>
      <c r="I2" s="178" t="s">
        <v>1249</v>
      </c>
      <c r="J2" s="236" t="s">
        <v>1250</v>
      </c>
      <c r="K2" s="178">
        <v>651</v>
      </c>
      <c r="L2" s="178">
        <v>1</v>
      </c>
      <c r="M2" s="267">
        <v>12.86</v>
      </c>
      <c r="N2" s="268"/>
      <c r="O2" s="236"/>
      <c r="P2" s="236"/>
      <c r="Q2" s="178"/>
      <c r="R2" s="178"/>
      <c r="S2" s="239" t="s">
        <v>1249</v>
      </c>
    </row>
    <row r="3" spans="1:19">
      <c r="A3" s="264">
        <v>2</v>
      </c>
      <c r="B3" s="265" t="s">
        <v>1239</v>
      </c>
      <c r="C3" s="235">
        <v>23057</v>
      </c>
      <c r="D3" s="235">
        <v>40777</v>
      </c>
      <c r="E3" s="235">
        <v>38790</v>
      </c>
      <c r="F3" s="236" t="s">
        <v>1248</v>
      </c>
      <c r="G3" s="266">
        <v>8.75</v>
      </c>
      <c r="H3" s="235"/>
      <c r="I3" s="178" t="s">
        <v>1249</v>
      </c>
      <c r="J3" s="236" t="s">
        <v>1250</v>
      </c>
      <c r="K3" s="178">
        <v>651</v>
      </c>
      <c r="L3" s="178">
        <v>1</v>
      </c>
      <c r="M3" s="267">
        <v>12.86</v>
      </c>
      <c r="N3" s="268"/>
      <c r="O3" s="236"/>
      <c r="P3" s="236"/>
      <c r="Q3" s="178"/>
      <c r="R3" s="178"/>
      <c r="S3" s="239" t="s">
        <v>1251</v>
      </c>
    </row>
    <row r="4" spans="1:19">
      <c r="A4" s="264">
        <v>3</v>
      </c>
      <c r="B4" s="265" t="s">
        <v>1239</v>
      </c>
      <c r="C4" s="235">
        <v>21764</v>
      </c>
      <c r="D4" s="235">
        <v>39125</v>
      </c>
      <c r="E4" s="235">
        <v>39125</v>
      </c>
      <c r="F4" s="236" t="s">
        <v>1248</v>
      </c>
      <c r="G4" s="266">
        <v>5.25</v>
      </c>
      <c r="H4" s="235"/>
      <c r="I4" s="178" t="s">
        <v>1249</v>
      </c>
      <c r="J4" s="236" t="s">
        <v>1250</v>
      </c>
      <c r="K4" s="178">
        <v>651</v>
      </c>
      <c r="L4" s="178">
        <v>1</v>
      </c>
      <c r="M4" s="267">
        <v>12.86</v>
      </c>
      <c r="N4" s="269"/>
      <c r="O4" s="236"/>
      <c r="P4" s="236"/>
      <c r="Q4" s="178"/>
      <c r="R4" s="178"/>
      <c r="S4" s="239" t="s">
        <v>1251</v>
      </c>
    </row>
    <row r="5" spans="1:19">
      <c r="A5" s="264">
        <v>4</v>
      </c>
      <c r="B5" s="265" t="s">
        <v>1239</v>
      </c>
      <c r="C5" s="235">
        <v>26480</v>
      </c>
      <c r="D5" s="235">
        <v>39352</v>
      </c>
      <c r="E5" s="235">
        <v>39352</v>
      </c>
      <c r="F5" s="236" t="s">
        <v>1248</v>
      </c>
      <c r="G5" s="266">
        <v>8.75</v>
      </c>
      <c r="H5" s="235"/>
      <c r="I5" s="178" t="s">
        <v>1249</v>
      </c>
      <c r="J5" s="236" t="s">
        <v>1250</v>
      </c>
      <c r="K5" s="178">
        <v>651</v>
      </c>
      <c r="L5" s="178">
        <v>1</v>
      </c>
      <c r="M5" s="267">
        <v>12.86</v>
      </c>
      <c r="N5" s="269"/>
      <c r="O5" s="236"/>
      <c r="P5" s="236"/>
      <c r="Q5" s="178"/>
      <c r="R5" s="178"/>
      <c r="S5" s="239" t="s">
        <v>1249</v>
      </c>
    </row>
    <row r="6" spans="1:19">
      <c r="A6" s="264">
        <v>5</v>
      </c>
      <c r="B6" s="265" t="s">
        <v>1239</v>
      </c>
      <c r="C6" s="235">
        <v>20611</v>
      </c>
      <c r="D6" s="235">
        <v>41518</v>
      </c>
      <c r="E6" s="235">
        <v>39314</v>
      </c>
      <c r="F6" s="236" t="s">
        <v>1248</v>
      </c>
      <c r="G6" s="266">
        <v>8.75</v>
      </c>
      <c r="H6" s="235"/>
      <c r="I6" s="178" t="s">
        <v>1249</v>
      </c>
      <c r="J6" s="236" t="s">
        <v>1250</v>
      </c>
      <c r="K6" s="178">
        <v>651</v>
      </c>
      <c r="L6" s="178">
        <v>1</v>
      </c>
      <c r="M6" s="267">
        <v>12.86</v>
      </c>
      <c r="N6" s="269"/>
      <c r="O6" s="236"/>
      <c r="P6" s="236"/>
      <c r="Q6" s="178"/>
      <c r="R6" s="178"/>
      <c r="S6" s="239" t="s">
        <v>1251</v>
      </c>
    </row>
    <row r="7" spans="1:19">
      <c r="A7" s="264">
        <v>6</v>
      </c>
      <c r="B7" s="265" t="s">
        <v>1239</v>
      </c>
      <c r="C7" s="235">
        <v>20865</v>
      </c>
      <c r="D7" s="235">
        <v>41518</v>
      </c>
      <c r="E7" s="235">
        <v>37683</v>
      </c>
      <c r="F7" s="236" t="s">
        <v>1248</v>
      </c>
      <c r="G7" s="266">
        <v>22.5</v>
      </c>
      <c r="H7" s="235"/>
      <c r="I7" s="178" t="s">
        <v>1249</v>
      </c>
      <c r="J7" s="236" t="s">
        <v>1250</v>
      </c>
      <c r="K7" s="178">
        <v>651</v>
      </c>
      <c r="L7" s="178">
        <v>1</v>
      </c>
      <c r="M7" s="267">
        <v>12.86</v>
      </c>
      <c r="N7" s="269"/>
      <c r="O7" s="236">
        <v>0.09</v>
      </c>
      <c r="P7" s="236"/>
      <c r="Q7" s="178"/>
      <c r="R7" s="178"/>
      <c r="S7" s="239" t="s">
        <v>1251</v>
      </c>
    </row>
    <row r="8" spans="1:19">
      <c r="A8" s="264">
        <v>7</v>
      </c>
      <c r="B8" s="265" t="s">
        <v>1239</v>
      </c>
      <c r="C8" s="235">
        <v>21243</v>
      </c>
      <c r="D8" s="235">
        <v>41981</v>
      </c>
      <c r="E8" s="235">
        <v>41981</v>
      </c>
      <c r="F8" s="236" t="s">
        <v>1248</v>
      </c>
      <c r="G8" s="266">
        <v>9.5</v>
      </c>
      <c r="H8" s="235"/>
      <c r="I8" s="178" t="s">
        <v>1249</v>
      </c>
      <c r="J8" s="236" t="s">
        <v>1250</v>
      </c>
      <c r="K8" s="178">
        <v>651</v>
      </c>
      <c r="L8" s="178">
        <v>1</v>
      </c>
      <c r="M8" s="267">
        <v>12.86</v>
      </c>
      <c r="N8" s="269"/>
      <c r="O8" s="236"/>
      <c r="P8" s="268"/>
      <c r="Q8" s="178"/>
      <c r="R8" s="178"/>
      <c r="S8" s="239" t="s">
        <v>1249</v>
      </c>
    </row>
    <row r="9" spans="1:19">
      <c r="A9" s="264">
        <v>8</v>
      </c>
      <c r="B9" s="265" t="s">
        <v>1239</v>
      </c>
      <c r="C9" s="235">
        <v>32996</v>
      </c>
      <c r="D9" s="235">
        <v>42147</v>
      </c>
      <c r="E9" s="235">
        <v>42147</v>
      </c>
      <c r="F9" s="236" t="s">
        <v>1248</v>
      </c>
      <c r="G9" s="266">
        <v>8.75</v>
      </c>
      <c r="H9" s="235"/>
      <c r="I9" s="178" t="s">
        <v>1249</v>
      </c>
      <c r="J9" s="236" t="s">
        <v>1250</v>
      </c>
      <c r="K9" s="178">
        <v>651</v>
      </c>
      <c r="L9" s="178">
        <v>1</v>
      </c>
      <c r="M9" s="267">
        <v>12.86</v>
      </c>
      <c r="N9" s="269"/>
      <c r="O9" s="236"/>
      <c r="P9" s="236"/>
      <c r="Q9" s="178"/>
      <c r="R9" s="178"/>
      <c r="S9" s="239" t="s">
        <v>1249</v>
      </c>
    </row>
    <row r="10" spans="1:19">
      <c r="A10" s="264">
        <v>9</v>
      </c>
      <c r="B10" s="265" t="s">
        <v>1239</v>
      </c>
      <c r="C10" s="235">
        <v>29007</v>
      </c>
      <c r="D10" s="235">
        <v>43276</v>
      </c>
      <c r="E10" s="235">
        <v>43276</v>
      </c>
      <c r="F10" s="236" t="s">
        <v>1248</v>
      </c>
      <c r="G10" s="266">
        <v>8.75</v>
      </c>
      <c r="H10" s="235"/>
      <c r="I10" s="178" t="s">
        <v>1249</v>
      </c>
      <c r="J10" s="236" t="s">
        <v>1250</v>
      </c>
      <c r="K10" s="178">
        <v>651</v>
      </c>
      <c r="L10" s="178">
        <v>1</v>
      </c>
      <c r="M10" s="267">
        <v>12.1</v>
      </c>
      <c r="N10" s="269"/>
      <c r="O10" s="236"/>
      <c r="P10" s="236"/>
      <c r="Q10" s="178"/>
      <c r="R10" s="178"/>
      <c r="S10" s="239" t="s">
        <v>1249</v>
      </c>
    </row>
    <row r="11" spans="1:19">
      <c r="A11" s="264">
        <v>10</v>
      </c>
      <c r="B11" s="265" t="s">
        <v>1239</v>
      </c>
      <c r="C11" s="235">
        <v>35888</v>
      </c>
      <c r="D11" s="235">
        <v>43295</v>
      </c>
      <c r="E11" s="235">
        <v>43295</v>
      </c>
      <c r="F11" s="236" t="s">
        <v>1248</v>
      </c>
      <c r="G11" s="266">
        <v>8.75</v>
      </c>
      <c r="H11" s="235"/>
      <c r="I11" s="178" t="s">
        <v>1249</v>
      </c>
      <c r="J11" s="236" t="s">
        <v>1250</v>
      </c>
      <c r="K11" s="178">
        <v>651</v>
      </c>
      <c r="L11" s="178">
        <v>1</v>
      </c>
      <c r="M11" s="267">
        <v>11.67</v>
      </c>
      <c r="N11" s="269"/>
      <c r="O11" s="236"/>
      <c r="P11" s="236"/>
      <c r="Q11" s="178"/>
      <c r="R11" s="178"/>
      <c r="S11" s="239" t="s">
        <v>1249</v>
      </c>
    </row>
    <row r="12" spans="1:19">
      <c r="A12" s="264">
        <v>11</v>
      </c>
      <c r="B12" s="265" t="s">
        <v>1239</v>
      </c>
      <c r="C12" s="235">
        <v>35156</v>
      </c>
      <c r="D12" s="235">
        <v>43766</v>
      </c>
      <c r="E12" s="235">
        <v>43766</v>
      </c>
      <c r="F12" s="236" t="s">
        <v>1248</v>
      </c>
      <c r="G12" s="266">
        <v>8.75</v>
      </c>
      <c r="H12" s="235"/>
      <c r="I12" s="178" t="s">
        <v>1249</v>
      </c>
      <c r="J12" s="236" t="s">
        <v>1250</v>
      </c>
      <c r="K12" s="178">
        <v>651</v>
      </c>
      <c r="L12" s="178">
        <v>1</v>
      </c>
      <c r="M12" s="267">
        <v>11.67</v>
      </c>
      <c r="N12" s="269"/>
      <c r="O12" s="236"/>
      <c r="P12" s="236"/>
      <c r="Q12" s="178"/>
      <c r="R12" s="178"/>
      <c r="S12" s="239" t="s">
        <v>1251</v>
      </c>
    </row>
    <row r="13" spans="1:19">
      <c r="A13" s="264">
        <v>12</v>
      </c>
      <c r="B13" s="265" t="s">
        <v>1239</v>
      </c>
      <c r="C13" s="235">
        <v>36683</v>
      </c>
      <c r="D13" s="235">
        <v>43858</v>
      </c>
      <c r="E13" s="235">
        <v>43858</v>
      </c>
      <c r="F13" s="236" t="s">
        <v>1252</v>
      </c>
      <c r="G13" s="266">
        <v>8.75</v>
      </c>
      <c r="H13" s="235"/>
      <c r="I13" s="178" t="s">
        <v>1249</v>
      </c>
      <c r="J13" s="236" t="s">
        <v>1250</v>
      </c>
      <c r="K13" s="178">
        <v>651</v>
      </c>
      <c r="L13" s="178">
        <v>1</v>
      </c>
      <c r="M13" s="267">
        <v>8.4499999999999993</v>
      </c>
      <c r="N13" s="269"/>
      <c r="O13" s="236"/>
      <c r="P13" s="236"/>
      <c r="Q13" s="178"/>
      <c r="R13" s="178"/>
      <c r="S13" s="239" t="s">
        <v>1249</v>
      </c>
    </row>
    <row r="14" spans="1:19">
      <c r="A14" s="264">
        <v>13</v>
      </c>
      <c r="B14" s="265" t="s">
        <v>1239</v>
      </c>
      <c r="C14" s="235">
        <v>36205</v>
      </c>
      <c r="D14" s="235">
        <v>44165</v>
      </c>
      <c r="E14" s="235">
        <v>44165</v>
      </c>
      <c r="F14" s="236" t="s">
        <v>1253</v>
      </c>
      <c r="G14" s="266">
        <v>8.75</v>
      </c>
      <c r="H14" s="235"/>
      <c r="I14" s="178" t="s">
        <v>1251</v>
      </c>
      <c r="J14" s="236" t="s">
        <v>1250</v>
      </c>
      <c r="K14" s="178">
        <v>651</v>
      </c>
      <c r="L14" s="178">
        <v>1</v>
      </c>
      <c r="M14" s="267">
        <v>11.27</v>
      </c>
      <c r="N14" s="269"/>
      <c r="O14" s="236"/>
      <c r="P14" s="236"/>
      <c r="Q14" s="178"/>
      <c r="R14" s="178"/>
      <c r="S14" s="239" t="s">
        <v>1251</v>
      </c>
    </row>
    <row r="15" spans="1:19">
      <c r="A15" s="264">
        <v>14</v>
      </c>
      <c r="B15" s="265" t="s">
        <v>1239</v>
      </c>
      <c r="C15" s="235">
        <v>24043</v>
      </c>
      <c r="D15" s="235">
        <v>43696</v>
      </c>
      <c r="E15" s="235">
        <v>43696</v>
      </c>
      <c r="F15" s="236" t="s">
        <v>1248</v>
      </c>
      <c r="G15" s="266">
        <v>11.25</v>
      </c>
      <c r="H15" s="235"/>
      <c r="I15" s="178" t="s">
        <v>1249</v>
      </c>
      <c r="J15" s="236" t="s">
        <v>1254</v>
      </c>
      <c r="K15" s="178">
        <v>672</v>
      </c>
      <c r="L15" s="178">
        <v>4</v>
      </c>
      <c r="M15" s="267">
        <v>14.85</v>
      </c>
      <c r="N15" s="269"/>
      <c r="O15" s="236"/>
      <c r="P15" s="236"/>
      <c r="Q15" s="178"/>
      <c r="R15" s="178"/>
      <c r="S15" s="239" t="s">
        <v>1249</v>
      </c>
    </row>
    <row r="16" spans="1:19">
      <c r="A16" s="264">
        <v>15</v>
      </c>
      <c r="B16" s="265" t="s">
        <v>1239</v>
      </c>
      <c r="C16" s="235">
        <v>36507</v>
      </c>
      <c r="D16" s="235">
        <v>44223</v>
      </c>
      <c r="E16" s="235">
        <v>44223</v>
      </c>
      <c r="F16" s="236" t="s">
        <v>1255</v>
      </c>
      <c r="G16" s="266">
        <v>11.25</v>
      </c>
      <c r="H16" s="235"/>
      <c r="I16" s="178" t="s">
        <v>1251</v>
      </c>
      <c r="J16" s="236" t="s">
        <v>1250</v>
      </c>
      <c r="K16" s="178">
        <v>651</v>
      </c>
      <c r="L16" s="178">
        <v>1</v>
      </c>
      <c r="M16" s="267">
        <v>11.27</v>
      </c>
      <c r="N16" s="269"/>
      <c r="O16" s="236"/>
      <c r="P16" s="236"/>
      <c r="Q16" s="178"/>
      <c r="R16" s="178"/>
      <c r="S16" s="239" t="s">
        <v>1251</v>
      </c>
    </row>
    <row r="17" spans="1:19">
      <c r="A17" s="264">
        <v>16</v>
      </c>
      <c r="B17" s="265" t="s">
        <v>1239</v>
      </c>
      <c r="C17" s="235">
        <v>25559</v>
      </c>
      <c r="D17" s="235">
        <v>44256</v>
      </c>
      <c r="E17" s="235">
        <v>44256</v>
      </c>
      <c r="F17" s="236" t="s">
        <v>1256</v>
      </c>
      <c r="G17" s="266">
        <v>7.25</v>
      </c>
      <c r="H17" s="235"/>
      <c r="I17" s="178" t="s">
        <v>1251</v>
      </c>
      <c r="J17" s="236" t="s">
        <v>1250</v>
      </c>
      <c r="K17" s="178">
        <v>651</v>
      </c>
      <c r="L17" s="178">
        <v>1</v>
      </c>
      <c r="M17" s="267">
        <v>11.27</v>
      </c>
      <c r="N17" s="269"/>
      <c r="O17" s="236"/>
      <c r="P17" s="236"/>
      <c r="Q17" s="178"/>
      <c r="R17" s="178"/>
      <c r="S17" s="239" t="s">
        <v>1251</v>
      </c>
    </row>
    <row r="18" spans="1:19">
      <c r="A18" s="264">
        <v>17</v>
      </c>
      <c r="B18" s="265" t="s">
        <v>1240</v>
      </c>
      <c r="C18" s="235">
        <v>26780</v>
      </c>
      <c r="D18" s="235">
        <v>40983</v>
      </c>
      <c r="E18" s="235">
        <v>40983</v>
      </c>
      <c r="F18" s="236" t="s">
        <v>1248</v>
      </c>
      <c r="G18" s="266">
        <v>1.5</v>
      </c>
      <c r="H18" s="235"/>
      <c r="I18" s="178" t="s">
        <v>1249</v>
      </c>
      <c r="J18" s="236" t="s">
        <v>1250</v>
      </c>
      <c r="K18" s="178">
        <v>651</v>
      </c>
      <c r="L18" s="178">
        <v>1</v>
      </c>
      <c r="M18" s="267">
        <v>12.86</v>
      </c>
      <c r="N18" s="269"/>
      <c r="O18" s="236"/>
      <c r="P18" s="236"/>
      <c r="Q18" s="178"/>
      <c r="R18" s="178"/>
      <c r="S18" s="239" t="s">
        <v>1249</v>
      </c>
    </row>
    <row r="19" spans="1:19">
      <c r="A19" s="264">
        <v>18</v>
      </c>
      <c r="B19" s="265" t="s">
        <v>1240</v>
      </c>
      <c r="C19" s="235">
        <v>23691</v>
      </c>
      <c r="D19" s="235">
        <v>41942</v>
      </c>
      <c r="E19" s="235">
        <v>41942</v>
      </c>
      <c r="F19" s="236" t="s">
        <v>1248</v>
      </c>
      <c r="G19" s="266">
        <v>10</v>
      </c>
      <c r="H19" s="235"/>
      <c r="I19" s="178" t="s">
        <v>1249</v>
      </c>
      <c r="J19" s="236" t="s">
        <v>1250</v>
      </c>
      <c r="K19" s="178">
        <v>651</v>
      </c>
      <c r="L19" s="178">
        <v>1</v>
      </c>
      <c r="M19" s="267">
        <v>12.86</v>
      </c>
      <c r="N19" s="269"/>
      <c r="O19" s="236"/>
      <c r="P19" s="236"/>
      <c r="Q19" s="178"/>
      <c r="R19" s="178"/>
      <c r="S19" s="239" t="s">
        <v>1249</v>
      </c>
    </row>
    <row r="20" spans="1:19">
      <c r="A20" s="264">
        <v>19</v>
      </c>
      <c r="B20" s="265" t="s">
        <v>1240</v>
      </c>
      <c r="C20" s="235">
        <v>33664</v>
      </c>
      <c r="D20" s="235">
        <v>42492</v>
      </c>
      <c r="E20" s="235">
        <v>42492</v>
      </c>
      <c r="F20" s="236" t="s">
        <v>1248</v>
      </c>
      <c r="G20" s="266">
        <v>10</v>
      </c>
      <c r="H20" s="235"/>
      <c r="I20" s="178" t="s">
        <v>1251</v>
      </c>
      <c r="J20" s="236" t="s">
        <v>1250</v>
      </c>
      <c r="K20" s="178">
        <v>651</v>
      </c>
      <c r="L20" s="178">
        <v>1</v>
      </c>
      <c r="M20" s="267">
        <v>12.86</v>
      </c>
      <c r="N20" s="269"/>
      <c r="O20" s="236"/>
      <c r="P20" s="236"/>
      <c r="Q20" s="178"/>
      <c r="R20" s="178"/>
      <c r="S20" s="239" t="s">
        <v>1249</v>
      </c>
    </row>
    <row r="21" spans="1:19">
      <c r="A21" s="264">
        <v>20</v>
      </c>
      <c r="B21" s="265" t="s">
        <v>1242</v>
      </c>
      <c r="C21" s="235">
        <v>20554</v>
      </c>
      <c r="D21" s="235">
        <v>39377</v>
      </c>
      <c r="E21" s="235">
        <v>39377</v>
      </c>
      <c r="F21" s="236" t="s">
        <v>1248</v>
      </c>
      <c r="G21" s="266">
        <v>13.75</v>
      </c>
      <c r="H21" s="235"/>
      <c r="I21" s="178" t="s">
        <v>1249</v>
      </c>
      <c r="J21" s="236" t="s">
        <v>1254</v>
      </c>
      <c r="K21" s="178">
        <v>665</v>
      </c>
      <c r="L21" s="178">
        <v>3</v>
      </c>
      <c r="M21" s="267">
        <v>13.52</v>
      </c>
      <c r="N21" s="269"/>
      <c r="O21" s="236"/>
      <c r="P21" s="236"/>
      <c r="Q21" s="178"/>
      <c r="R21" s="178"/>
      <c r="S21" s="239" t="s">
        <v>1249</v>
      </c>
    </row>
    <row r="22" spans="1:19">
      <c r="A22" s="264">
        <v>21</v>
      </c>
      <c r="B22" s="265" t="s">
        <v>1242</v>
      </c>
      <c r="C22" s="235">
        <v>31536</v>
      </c>
      <c r="D22" s="235">
        <v>39324</v>
      </c>
      <c r="E22" s="235">
        <v>39324</v>
      </c>
      <c r="F22" s="236" t="s">
        <v>1248</v>
      </c>
      <c r="G22" s="266">
        <v>10.75</v>
      </c>
      <c r="H22" s="235"/>
      <c r="I22" s="178" t="s">
        <v>1249</v>
      </c>
      <c r="J22" s="236" t="s">
        <v>1250</v>
      </c>
      <c r="K22" s="178">
        <v>651</v>
      </c>
      <c r="L22" s="178">
        <v>1</v>
      </c>
      <c r="M22" s="267">
        <v>12.86</v>
      </c>
      <c r="N22" s="269"/>
      <c r="O22" s="236"/>
      <c r="P22" s="236"/>
      <c r="Q22" s="178"/>
      <c r="R22" s="178"/>
      <c r="S22" s="239" t="s">
        <v>1251</v>
      </c>
    </row>
    <row r="23" spans="1:19">
      <c r="A23" s="264">
        <v>22</v>
      </c>
      <c r="B23" s="265" t="s">
        <v>1242</v>
      </c>
      <c r="C23" s="235">
        <v>34585</v>
      </c>
      <c r="D23" s="235">
        <v>40672</v>
      </c>
      <c r="E23" s="235">
        <v>40672</v>
      </c>
      <c r="F23" s="236" t="s">
        <v>1248</v>
      </c>
      <c r="G23" s="266">
        <v>2</v>
      </c>
      <c r="H23" s="235"/>
      <c r="I23" s="178" t="s">
        <v>1249</v>
      </c>
      <c r="J23" s="236" t="s">
        <v>1250</v>
      </c>
      <c r="K23" s="178">
        <v>651</v>
      </c>
      <c r="L23" s="178">
        <v>1</v>
      </c>
      <c r="M23" s="267">
        <v>12.86</v>
      </c>
      <c r="N23" s="269"/>
      <c r="O23" s="236"/>
      <c r="P23" s="236"/>
      <c r="Q23" s="178"/>
      <c r="R23" s="178"/>
      <c r="S23" s="239" t="s">
        <v>1251</v>
      </c>
    </row>
    <row r="24" spans="1:19">
      <c r="A24" s="264">
        <v>23</v>
      </c>
      <c r="B24" s="265" t="s">
        <v>1242</v>
      </c>
      <c r="C24" s="235">
        <v>28286</v>
      </c>
      <c r="D24" s="235">
        <v>40777</v>
      </c>
      <c r="E24" s="235">
        <v>39316</v>
      </c>
      <c r="F24" s="236" t="s">
        <v>1248</v>
      </c>
      <c r="G24" s="266">
        <v>11.25</v>
      </c>
      <c r="H24" s="235"/>
      <c r="I24" s="178" t="s">
        <v>1249</v>
      </c>
      <c r="J24" s="236" t="s">
        <v>1250</v>
      </c>
      <c r="K24" s="178">
        <v>651</v>
      </c>
      <c r="L24" s="178">
        <v>1</v>
      </c>
      <c r="M24" s="267">
        <v>12.86</v>
      </c>
      <c r="N24" s="269"/>
      <c r="O24" s="236"/>
      <c r="P24" s="236"/>
      <c r="Q24" s="178"/>
      <c r="R24" s="178"/>
      <c r="S24" s="239" t="s">
        <v>1251</v>
      </c>
    </row>
    <row r="25" spans="1:19">
      <c r="A25" s="264">
        <v>24</v>
      </c>
      <c r="B25" s="265" t="s">
        <v>1242</v>
      </c>
      <c r="C25" s="235">
        <v>23604</v>
      </c>
      <c r="D25" s="235">
        <v>40777</v>
      </c>
      <c r="E25" s="235">
        <v>38621</v>
      </c>
      <c r="F25" s="236" t="s">
        <v>1248</v>
      </c>
      <c r="G25" s="266">
        <v>10</v>
      </c>
      <c r="H25" s="235"/>
      <c r="I25" s="178" t="s">
        <v>1249</v>
      </c>
      <c r="J25" s="236" t="s">
        <v>1250</v>
      </c>
      <c r="K25" s="178">
        <v>651</v>
      </c>
      <c r="L25" s="178">
        <v>1</v>
      </c>
      <c r="M25" s="267">
        <v>12.86</v>
      </c>
      <c r="N25" s="269"/>
      <c r="O25" s="236"/>
      <c r="P25" s="268"/>
      <c r="Q25" s="178"/>
      <c r="R25" s="178"/>
      <c r="S25" s="239" t="s">
        <v>1251</v>
      </c>
    </row>
    <row r="26" spans="1:19">
      <c r="A26" s="264">
        <v>25</v>
      </c>
      <c r="B26" s="265" t="s">
        <v>1242</v>
      </c>
      <c r="C26" s="237">
        <v>27831</v>
      </c>
      <c r="D26" s="237">
        <v>40777</v>
      </c>
      <c r="E26" s="237">
        <v>40067</v>
      </c>
      <c r="F26" s="238" t="s">
        <v>1248</v>
      </c>
      <c r="G26" s="238">
        <v>10</v>
      </c>
      <c r="I26" s="270" t="s">
        <v>1249</v>
      </c>
      <c r="J26" s="271" t="s">
        <v>1250</v>
      </c>
      <c r="K26" s="270">
        <v>651</v>
      </c>
      <c r="L26" s="270">
        <v>1</v>
      </c>
      <c r="M26" s="272">
        <v>12.86</v>
      </c>
      <c r="S26" s="271" t="s">
        <v>1251</v>
      </c>
    </row>
    <row r="27" spans="1:19">
      <c r="A27" s="264">
        <v>26</v>
      </c>
      <c r="B27" s="265" t="s">
        <v>1242</v>
      </c>
      <c r="C27" s="237">
        <v>23342</v>
      </c>
      <c r="D27" s="237">
        <v>38961</v>
      </c>
      <c r="E27" s="237">
        <v>36451</v>
      </c>
      <c r="F27" s="238" t="s">
        <v>1248</v>
      </c>
      <c r="G27" s="238">
        <v>8.75</v>
      </c>
      <c r="I27" s="270" t="s">
        <v>1249</v>
      </c>
      <c r="J27" s="271" t="s">
        <v>1250</v>
      </c>
      <c r="K27" s="270">
        <v>651</v>
      </c>
      <c r="L27" s="270">
        <v>1</v>
      </c>
      <c r="M27" s="272">
        <v>12.86</v>
      </c>
      <c r="S27" s="271" t="s">
        <v>1251</v>
      </c>
    </row>
    <row r="28" spans="1:19">
      <c r="A28" s="264">
        <v>27</v>
      </c>
      <c r="B28" s="265" t="s">
        <v>1242</v>
      </c>
      <c r="C28" s="237">
        <v>32060</v>
      </c>
      <c r="D28" s="237">
        <v>41022</v>
      </c>
      <c r="E28" s="237">
        <v>41022</v>
      </c>
      <c r="F28" s="238" t="s">
        <v>1248</v>
      </c>
      <c r="G28" s="238">
        <v>7.5</v>
      </c>
      <c r="I28" s="270" t="s">
        <v>1249</v>
      </c>
      <c r="J28" s="271" t="s">
        <v>1250</v>
      </c>
      <c r="K28" s="270">
        <v>651</v>
      </c>
      <c r="L28" s="270">
        <v>1</v>
      </c>
      <c r="M28" s="272">
        <v>12.86</v>
      </c>
      <c r="S28" s="271" t="s">
        <v>1249</v>
      </c>
    </row>
    <row r="29" spans="1:19">
      <c r="A29" s="264">
        <v>28</v>
      </c>
      <c r="B29" s="265" t="s">
        <v>1242</v>
      </c>
      <c r="C29" s="237">
        <v>35206</v>
      </c>
      <c r="D29" s="237">
        <v>41197</v>
      </c>
      <c r="E29" s="237">
        <v>41197</v>
      </c>
      <c r="F29" s="238" t="s">
        <v>1248</v>
      </c>
      <c r="G29" s="238">
        <v>10.25</v>
      </c>
      <c r="I29" s="270" t="s">
        <v>1249</v>
      </c>
      <c r="J29" s="271" t="s">
        <v>1250</v>
      </c>
      <c r="K29" s="270">
        <v>651</v>
      </c>
      <c r="L29" s="270">
        <v>1</v>
      </c>
      <c r="M29" s="272">
        <v>12.1</v>
      </c>
      <c r="S29" s="271" t="s">
        <v>1249</v>
      </c>
    </row>
    <row r="30" spans="1:19">
      <c r="A30" s="264">
        <v>29</v>
      </c>
      <c r="B30" s="265" t="s">
        <v>1242</v>
      </c>
      <c r="C30" s="237">
        <v>30481</v>
      </c>
      <c r="D30" s="237">
        <v>43472</v>
      </c>
      <c r="E30" s="237">
        <v>43472</v>
      </c>
      <c r="F30" s="238" t="s">
        <v>1248</v>
      </c>
      <c r="G30" s="238">
        <v>8.75</v>
      </c>
      <c r="I30" s="270" t="s">
        <v>1249</v>
      </c>
      <c r="J30" s="271" t="s">
        <v>1250</v>
      </c>
      <c r="K30" s="270">
        <v>651</v>
      </c>
      <c r="L30" s="270">
        <v>1</v>
      </c>
      <c r="M30" s="272">
        <v>12.1</v>
      </c>
      <c r="S30" s="271" t="s">
        <v>1249</v>
      </c>
    </row>
    <row r="31" spans="1:19">
      <c r="A31" s="264">
        <v>30</v>
      </c>
      <c r="B31" s="265" t="s">
        <v>1242</v>
      </c>
      <c r="C31" s="237">
        <v>23691</v>
      </c>
      <c r="D31" s="237">
        <v>41942</v>
      </c>
      <c r="E31" s="237">
        <v>41942</v>
      </c>
      <c r="F31" s="238" t="s">
        <v>1248</v>
      </c>
      <c r="G31" s="238">
        <v>8.75</v>
      </c>
      <c r="I31" s="270" t="s">
        <v>1249</v>
      </c>
      <c r="J31" s="271" t="s">
        <v>1250</v>
      </c>
      <c r="K31" s="270">
        <v>651</v>
      </c>
      <c r="L31" s="270">
        <v>1</v>
      </c>
      <c r="M31" s="272">
        <v>12.86</v>
      </c>
      <c r="S31" s="271" t="s">
        <v>1249</v>
      </c>
    </row>
    <row r="32" spans="1:19">
      <c r="A32" s="264">
        <v>31</v>
      </c>
      <c r="B32" s="265" t="s">
        <v>1242</v>
      </c>
      <c r="C32" s="237">
        <v>33664</v>
      </c>
      <c r="D32" s="237">
        <v>42492</v>
      </c>
      <c r="E32" s="237">
        <v>42492</v>
      </c>
      <c r="F32" s="238" t="s">
        <v>1248</v>
      </c>
      <c r="G32" s="238">
        <v>10</v>
      </c>
      <c r="I32" s="270" t="s">
        <v>1249</v>
      </c>
      <c r="J32" s="271" t="s">
        <v>1250</v>
      </c>
      <c r="K32" s="270">
        <v>651</v>
      </c>
      <c r="L32" s="270">
        <v>1</v>
      </c>
      <c r="M32" s="272">
        <v>12.86</v>
      </c>
      <c r="S32" s="271" t="s">
        <v>1249</v>
      </c>
    </row>
    <row r="33" spans="1:19">
      <c r="A33" s="264">
        <v>32</v>
      </c>
      <c r="B33" s="265" t="s">
        <v>1242</v>
      </c>
      <c r="C33" s="237">
        <v>30481</v>
      </c>
      <c r="D33" s="237">
        <v>43472</v>
      </c>
      <c r="E33" s="237">
        <v>43472</v>
      </c>
      <c r="F33" s="238" t="s">
        <v>1248</v>
      </c>
      <c r="G33" s="238">
        <v>8.75</v>
      </c>
      <c r="I33" s="270" t="s">
        <v>1249</v>
      </c>
      <c r="J33" s="271" t="s">
        <v>1250</v>
      </c>
      <c r="K33" s="270">
        <v>651</v>
      </c>
      <c r="L33" s="270">
        <v>1</v>
      </c>
      <c r="M33" s="272">
        <v>12.1</v>
      </c>
      <c r="S33" s="271" t="s">
        <v>1249</v>
      </c>
    </row>
    <row r="34" spans="1:19">
      <c r="A34" s="264">
        <v>33</v>
      </c>
      <c r="B34" s="265" t="s">
        <v>1242</v>
      </c>
      <c r="C34" s="237">
        <v>33031</v>
      </c>
      <c r="D34" s="237">
        <v>44060</v>
      </c>
      <c r="E34" s="237">
        <v>44060</v>
      </c>
      <c r="F34" s="237" t="s">
        <v>1257</v>
      </c>
      <c r="G34" s="238">
        <v>10</v>
      </c>
      <c r="I34" s="270" t="s">
        <v>1251</v>
      </c>
      <c r="J34" s="271" t="s">
        <v>1250</v>
      </c>
      <c r="K34" s="270">
        <v>651</v>
      </c>
      <c r="L34" s="270">
        <v>1</v>
      </c>
      <c r="M34" s="272">
        <v>11.27</v>
      </c>
      <c r="S34" s="271" t="s">
        <v>1251</v>
      </c>
    </row>
    <row r="35" spans="1:19">
      <c r="A35" s="264">
        <v>34</v>
      </c>
      <c r="B35" s="265" t="s">
        <v>401</v>
      </c>
      <c r="C35" s="237">
        <v>37593</v>
      </c>
      <c r="D35" s="237">
        <v>44125</v>
      </c>
      <c r="E35" s="237">
        <v>44125</v>
      </c>
      <c r="F35" s="238" t="s">
        <v>1258</v>
      </c>
      <c r="G35" s="238">
        <v>2</v>
      </c>
      <c r="I35" s="270" t="s">
        <v>1251</v>
      </c>
      <c r="J35" s="271" t="s">
        <v>1250</v>
      </c>
      <c r="K35" s="270">
        <v>651</v>
      </c>
      <c r="L35" s="270">
        <v>1</v>
      </c>
      <c r="M35" s="272">
        <v>6.2</v>
      </c>
      <c r="S35" s="271" t="s">
        <v>1251</v>
      </c>
    </row>
    <row r="36" spans="1:19">
      <c r="A36" s="264">
        <v>35</v>
      </c>
      <c r="B36" s="265" t="s">
        <v>401</v>
      </c>
      <c r="C36" s="237">
        <v>21892</v>
      </c>
      <c r="D36" s="237">
        <v>39203</v>
      </c>
      <c r="E36" s="237">
        <v>38292</v>
      </c>
      <c r="F36" s="238" t="s">
        <v>1248</v>
      </c>
      <c r="G36" s="238">
        <v>20</v>
      </c>
      <c r="I36" s="270" t="s">
        <v>1249</v>
      </c>
      <c r="J36" s="271" t="s">
        <v>1250</v>
      </c>
      <c r="K36" s="270">
        <v>651</v>
      </c>
      <c r="L36" s="270">
        <v>1</v>
      </c>
      <c r="M36" s="272">
        <v>12.86</v>
      </c>
      <c r="S36" s="271" t="s">
        <v>1251</v>
      </c>
    </row>
    <row r="37" spans="1:19">
      <c r="A37" s="264">
        <v>36</v>
      </c>
      <c r="B37" s="265" t="s">
        <v>401</v>
      </c>
      <c r="C37" s="237">
        <v>35496</v>
      </c>
      <c r="D37" s="237">
        <v>43586</v>
      </c>
      <c r="E37" s="273">
        <v>42352</v>
      </c>
      <c r="F37" s="238" t="s">
        <v>1248</v>
      </c>
      <c r="G37" s="238">
        <v>10</v>
      </c>
      <c r="I37" s="270" t="s">
        <v>1249</v>
      </c>
      <c r="J37" s="271" t="s">
        <v>1250</v>
      </c>
      <c r="K37" s="270">
        <v>651</v>
      </c>
      <c r="L37" s="270" t="s">
        <v>1259</v>
      </c>
      <c r="M37" s="272">
        <v>10.24</v>
      </c>
      <c r="S37" s="271" t="s">
        <v>1249</v>
      </c>
    </row>
    <row r="38" spans="1:19">
      <c r="A38" s="264">
        <v>37</v>
      </c>
      <c r="B38" s="265" t="s">
        <v>401</v>
      </c>
      <c r="C38" s="237">
        <v>27894</v>
      </c>
      <c r="D38" s="237">
        <v>43857</v>
      </c>
      <c r="E38" s="237">
        <v>43857</v>
      </c>
      <c r="F38" s="238" t="s">
        <v>1260</v>
      </c>
      <c r="G38" s="238">
        <v>10</v>
      </c>
      <c r="I38" s="270" t="s">
        <v>1249</v>
      </c>
      <c r="J38" s="271" t="s">
        <v>1250</v>
      </c>
      <c r="K38" s="270">
        <v>651</v>
      </c>
      <c r="L38" s="270">
        <v>1</v>
      </c>
      <c r="M38" s="272">
        <v>11.67</v>
      </c>
      <c r="S38" s="271" t="s">
        <v>1251</v>
      </c>
    </row>
    <row r="39" spans="1:19">
      <c r="A39" s="264">
        <v>38</v>
      </c>
      <c r="B39" s="265" t="s">
        <v>402</v>
      </c>
      <c r="C39" s="237">
        <v>22048</v>
      </c>
      <c r="D39" s="237">
        <v>40784</v>
      </c>
      <c r="E39" s="237">
        <v>37575</v>
      </c>
      <c r="F39" s="238" t="s">
        <v>1248</v>
      </c>
      <c r="G39" s="238">
        <v>5.25</v>
      </c>
      <c r="I39" s="270" t="s">
        <v>1249</v>
      </c>
      <c r="J39" s="271" t="s">
        <v>1250</v>
      </c>
      <c r="K39" s="270">
        <v>651</v>
      </c>
      <c r="L39" s="270">
        <v>1</v>
      </c>
      <c r="M39" s="272">
        <v>12.86</v>
      </c>
      <c r="S39" s="271" t="s">
        <v>1249</v>
      </c>
    </row>
    <row r="40" spans="1:19">
      <c r="A40" s="264">
        <v>39</v>
      </c>
      <c r="B40" s="265" t="s">
        <v>402</v>
      </c>
      <c r="C40" s="237">
        <v>21650</v>
      </c>
      <c r="D40" s="237">
        <v>36276</v>
      </c>
      <c r="E40" s="237">
        <v>36276</v>
      </c>
      <c r="F40" s="238" t="s">
        <v>1248</v>
      </c>
      <c r="G40" s="238">
        <v>5.25</v>
      </c>
      <c r="I40" s="270" t="s">
        <v>1249</v>
      </c>
      <c r="J40" s="271" t="s">
        <v>1250</v>
      </c>
      <c r="K40" s="270">
        <v>651</v>
      </c>
      <c r="L40" s="270">
        <v>1</v>
      </c>
      <c r="M40" s="272">
        <v>12.86</v>
      </c>
      <c r="S40" s="271" t="s">
        <v>1251</v>
      </c>
    </row>
    <row r="41" spans="1:19">
      <c r="A41" s="264">
        <v>40</v>
      </c>
      <c r="B41" s="265" t="s">
        <v>402</v>
      </c>
      <c r="C41" s="237">
        <v>32601</v>
      </c>
      <c r="D41" s="237">
        <v>40837</v>
      </c>
      <c r="E41" s="237">
        <v>40837</v>
      </c>
      <c r="F41" s="238" t="s">
        <v>1248</v>
      </c>
      <c r="G41" s="238">
        <v>5.25</v>
      </c>
      <c r="I41" s="270" t="s">
        <v>1249</v>
      </c>
      <c r="J41" s="271" t="s">
        <v>1250</v>
      </c>
      <c r="K41" s="270">
        <v>651</v>
      </c>
      <c r="L41" s="270">
        <v>1</v>
      </c>
      <c r="M41" s="272">
        <v>12.86</v>
      </c>
      <c r="S41" s="271" t="s">
        <v>1249</v>
      </c>
    </row>
    <row r="42" spans="1:19">
      <c r="A42" s="264">
        <v>41</v>
      </c>
      <c r="B42" s="265" t="s">
        <v>1265</v>
      </c>
      <c r="C42" s="237">
        <v>29403</v>
      </c>
      <c r="D42" s="237">
        <v>40777</v>
      </c>
      <c r="E42" s="237">
        <v>39316</v>
      </c>
      <c r="F42" s="238" t="s">
        <v>1248</v>
      </c>
      <c r="G42" s="238">
        <v>17.5</v>
      </c>
      <c r="I42" s="270" t="s">
        <v>1261</v>
      </c>
      <c r="J42" s="271" t="s">
        <v>1250</v>
      </c>
      <c r="K42" s="270">
        <v>651</v>
      </c>
      <c r="L42" s="270">
        <v>1</v>
      </c>
      <c r="M42" s="272">
        <v>12.86</v>
      </c>
      <c r="S42" s="271" t="s">
        <v>1251</v>
      </c>
    </row>
    <row r="43" spans="1:19">
      <c r="A43" s="264">
        <v>42</v>
      </c>
      <c r="B43" s="265" t="s">
        <v>1265</v>
      </c>
      <c r="C43" s="237">
        <v>26780</v>
      </c>
      <c r="D43" s="237">
        <v>40983</v>
      </c>
      <c r="E43" s="237">
        <v>40983</v>
      </c>
      <c r="F43" s="238" t="s">
        <v>1248</v>
      </c>
      <c r="G43" s="238">
        <v>10.5</v>
      </c>
      <c r="I43" s="270" t="s">
        <v>1249</v>
      </c>
      <c r="J43" s="271" t="s">
        <v>1250</v>
      </c>
      <c r="K43" s="270">
        <v>651</v>
      </c>
      <c r="L43" s="270">
        <v>1</v>
      </c>
      <c r="M43" s="272">
        <v>12.86</v>
      </c>
      <c r="S43" s="271" t="s">
        <v>1249</v>
      </c>
    </row>
    <row r="44" spans="1:19">
      <c r="A44" s="264">
        <v>43</v>
      </c>
      <c r="B44" s="265" t="s">
        <v>1265</v>
      </c>
      <c r="C44" s="237">
        <v>21880</v>
      </c>
      <c r="D44" s="237">
        <v>39146</v>
      </c>
      <c r="E44" s="237">
        <v>39146</v>
      </c>
      <c r="F44" s="238" t="s">
        <v>1248</v>
      </c>
      <c r="G44" s="238">
        <v>11.25</v>
      </c>
      <c r="I44" s="270" t="s">
        <v>1249</v>
      </c>
      <c r="J44" s="271" t="s">
        <v>1250</v>
      </c>
      <c r="K44" s="270">
        <v>651</v>
      </c>
      <c r="L44" s="270">
        <v>1</v>
      </c>
      <c r="M44" s="272">
        <v>12.86</v>
      </c>
      <c r="S44" s="271" t="s">
        <v>1249</v>
      </c>
    </row>
    <row r="45" spans="1:19">
      <c r="A45" s="264">
        <v>44</v>
      </c>
      <c r="B45" s="265" t="s">
        <v>1265</v>
      </c>
      <c r="C45" s="237">
        <v>29563</v>
      </c>
      <c r="D45" s="237">
        <v>39755</v>
      </c>
      <c r="E45" s="237">
        <v>39755</v>
      </c>
      <c r="F45" s="238" t="s">
        <v>1248</v>
      </c>
      <c r="G45" s="238">
        <v>10.25</v>
      </c>
      <c r="I45" s="270" t="s">
        <v>1249</v>
      </c>
      <c r="J45" s="271" t="s">
        <v>1250</v>
      </c>
      <c r="K45" s="270">
        <v>651</v>
      </c>
      <c r="L45" s="270">
        <v>1</v>
      </c>
      <c r="M45" s="272">
        <v>12.86</v>
      </c>
      <c r="S45" s="271" t="s">
        <v>1251</v>
      </c>
    </row>
    <row r="46" spans="1:19">
      <c r="A46" s="264">
        <v>45</v>
      </c>
      <c r="B46" s="265" t="s">
        <v>1265</v>
      </c>
      <c r="C46" s="237">
        <v>24935</v>
      </c>
      <c r="D46" s="237">
        <v>40777</v>
      </c>
      <c r="E46" s="237">
        <v>35462</v>
      </c>
      <c r="F46" s="238" t="s">
        <v>1248</v>
      </c>
      <c r="G46" s="238">
        <v>12.5</v>
      </c>
      <c r="I46" s="270" t="s">
        <v>1249</v>
      </c>
      <c r="J46" s="271" t="s">
        <v>1250</v>
      </c>
      <c r="K46" s="270">
        <v>651</v>
      </c>
      <c r="L46" s="270">
        <v>1</v>
      </c>
      <c r="M46" s="272">
        <v>12.86</v>
      </c>
      <c r="S46" s="271" t="s">
        <v>1251</v>
      </c>
    </row>
    <row r="47" spans="1:19">
      <c r="A47" s="264">
        <v>46</v>
      </c>
      <c r="B47" s="265" t="s">
        <v>1265</v>
      </c>
      <c r="C47" s="237">
        <v>23786</v>
      </c>
      <c r="D47" s="237">
        <v>40833</v>
      </c>
      <c r="E47" s="237">
        <v>40833</v>
      </c>
      <c r="F47" s="238" t="s">
        <v>1248</v>
      </c>
      <c r="G47" s="238">
        <v>12.5</v>
      </c>
      <c r="I47" s="270" t="s">
        <v>1249</v>
      </c>
      <c r="J47" s="271" t="s">
        <v>1250</v>
      </c>
      <c r="K47" s="270">
        <v>651</v>
      </c>
      <c r="L47" s="270">
        <v>1</v>
      </c>
      <c r="M47" s="272">
        <v>12.86</v>
      </c>
      <c r="S47" s="271" t="s">
        <v>1249</v>
      </c>
    </row>
    <row r="48" spans="1:19">
      <c r="A48" s="264">
        <v>47</v>
      </c>
      <c r="B48" s="265" t="s">
        <v>1265</v>
      </c>
      <c r="C48" s="237">
        <v>31168</v>
      </c>
      <c r="D48" s="237">
        <v>42709</v>
      </c>
      <c r="E48" s="237">
        <v>42709</v>
      </c>
      <c r="F48" s="238" t="s">
        <v>1248</v>
      </c>
      <c r="G48" s="238">
        <v>11.25</v>
      </c>
      <c r="I48" s="270" t="s">
        <v>1249</v>
      </c>
      <c r="J48" s="271" t="s">
        <v>1250</v>
      </c>
      <c r="K48" s="270">
        <v>651</v>
      </c>
      <c r="L48" s="270">
        <v>1</v>
      </c>
      <c r="M48" s="272">
        <v>12.86</v>
      </c>
      <c r="S48" s="271" t="s">
        <v>1249</v>
      </c>
    </row>
    <row r="49" spans="1:19">
      <c r="A49" s="264">
        <v>48</v>
      </c>
      <c r="B49" s="265" t="s">
        <v>1265</v>
      </c>
      <c r="C49" s="237">
        <v>29637</v>
      </c>
      <c r="D49" s="237">
        <v>42942</v>
      </c>
      <c r="E49" s="237">
        <v>42942</v>
      </c>
      <c r="F49" s="238" t="s">
        <v>1248</v>
      </c>
      <c r="G49" s="238">
        <v>12.5</v>
      </c>
      <c r="I49" s="270" t="s">
        <v>1249</v>
      </c>
      <c r="J49" s="271" t="s">
        <v>1250</v>
      </c>
      <c r="K49" s="270">
        <v>651</v>
      </c>
      <c r="L49" s="270">
        <v>1</v>
      </c>
      <c r="M49" s="272">
        <v>12.47</v>
      </c>
      <c r="S49" s="271" t="s">
        <v>1249</v>
      </c>
    </row>
    <row r="50" spans="1:19">
      <c r="A50" s="264">
        <v>49</v>
      </c>
      <c r="B50" s="265" t="s">
        <v>1265</v>
      </c>
      <c r="C50" s="237">
        <v>26743</v>
      </c>
      <c r="D50" s="237">
        <v>43367</v>
      </c>
      <c r="E50" s="237">
        <v>43367</v>
      </c>
      <c r="F50" s="238" t="s">
        <v>1248</v>
      </c>
      <c r="G50" s="238">
        <v>11.75</v>
      </c>
      <c r="I50" s="270" t="s">
        <v>1249</v>
      </c>
      <c r="J50" s="271" t="s">
        <v>1250</v>
      </c>
      <c r="K50" s="270">
        <v>651</v>
      </c>
      <c r="L50" s="270">
        <v>1</v>
      </c>
      <c r="M50" s="272">
        <v>12.1</v>
      </c>
      <c r="S50" s="271" t="s">
        <v>1249</v>
      </c>
    </row>
    <row r="51" spans="1:19">
      <c r="A51" s="264">
        <v>50</v>
      </c>
      <c r="B51" s="265" t="s">
        <v>1265</v>
      </c>
      <c r="C51" s="237">
        <v>31987</v>
      </c>
      <c r="D51" s="237">
        <v>43586</v>
      </c>
      <c r="E51" s="273">
        <v>41337</v>
      </c>
      <c r="F51" s="238" t="s">
        <v>1248</v>
      </c>
      <c r="G51" s="238">
        <v>12.5</v>
      </c>
      <c r="I51" s="270" t="s">
        <v>1249</v>
      </c>
      <c r="J51" s="271" t="s">
        <v>1250</v>
      </c>
      <c r="K51" s="270">
        <v>651</v>
      </c>
      <c r="L51" s="270" t="s">
        <v>1262</v>
      </c>
      <c r="M51" s="272">
        <v>6.85</v>
      </c>
      <c r="S51" s="271" t="s">
        <v>1249</v>
      </c>
    </row>
    <row r="52" spans="1:19">
      <c r="A52" s="264">
        <v>51</v>
      </c>
      <c r="B52" s="265" t="s">
        <v>1265</v>
      </c>
      <c r="C52" s="237">
        <v>31168</v>
      </c>
      <c r="D52" s="237">
        <v>42709</v>
      </c>
      <c r="E52" s="237">
        <v>42709</v>
      </c>
      <c r="F52" s="238" t="s">
        <v>1248</v>
      </c>
      <c r="G52" s="238">
        <v>11.25</v>
      </c>
      <c r="I52" s="270" t="s">
        <v>1249</v>
      </c>
      <c r="J52" s="271" t="s">
        <v>1250</v>
      </c>
      <c r="K52" s="270">
        <v>651</v>
      </c>
      <c r="L52" s="270">
        <v>1</v>
      </c>
      <c r="M52" s="272">
        <v>12.86</v>
      </c>
      <c r="S52" s="271" t="s">
        <v>1249</v>
      </c>
    </row>
    <row r="53" spans="1:19">
      <c r="A53" s="264">
        <v>52</v>
      </c>
      <c r="B53" s="265" t="s">
        <v>1265</v>
      </c>
      <c r="C53" s="237">
        <v>37163</v>
      </c>
      <c r="D53" s="237">
        <v>44144</v>
      </c>
      <c r="E53" s="237">
        <v>44144</v>
      </c>
      <c r="F53" s="238" t="s">
        <v>1263</v>
      </c>
      <c r="G53" s="238">
        <v>2.5</v>
      </c>
      <c r="I53" s="270" t="s">
        <v>1251</v>
      </c>
      <c r="J53" s="271" t="s">
        <v>1250</v>
      </c>
      <c r="K53" s="270">
        <v>651</v>
      </c>
      <c r="L53" s="270">
        <v>1</v>
      </c>
      <c r="M53" s="272">
        <v>7.33</v>
      </c>
      <c r="S53" s="271" t="s">
        <v>1251</v>
      </c>
    </row>
    <row r="54" spans="1:19">
      <c r="A54" s="264">
        <v>53</v>
      </c>
      <c r="B54" s="265" t="s">
        <v>1265</v>
      </c>
      <c r="C54" s="237">
        <v>28884</v>
      </c>
      <c r="D54" s="237">
        <v>43703</v>
      </c>
      <c r="E54" s="237">
        <v>43703</v>
      </c>
      <c r="F54" s="238" t="s">
        <v>1248</v>
      </c>
      <c r="G54" s="238">
        <v>12.5</v>
      </c>
      <c r="I54" s="270" t="s">
        <v>1249</v>
      </c>
      <c r="J54" s="271" t="s">
        <v>1254</v>
      </c>
      <c r="K54" s="270">
        <v>672</v>
      </c>
      <c r="L54" s="270">
        <v>4</v>
      </c>
      <c r="M54" s="272">
        <v>13.4</v>
      </c>
      <c r="S54" s="271" t="s">
        <v>1249</v>
      </c>
    </row>
    <row r="55" spans="1:19">
      <c r="A55" s="264">
        <v>54</v>
      </c>
      <c r="B55" s="265" t="s">
        <v>1265</v>
      </c>
      <c r="C55" s="237">
        <v>28051</v>
      </c>
      <c r="D55" s="237">
        <v>43857</v>
      </c>
      <c r="E55" s="237">
        <v>43857</v>
      </c>
      <c r="F55" s="238" t="s">
        <v>1260</v>
      </c>
      <c r="G55" s="238">
        <v>20</v>
      </c>
      <c r="I55" s="270" t="s">
        <v>1249</v>
      </c>
      <c r="J55" s="271" t="s">
        <v>1264</v>
      </c>
      <c r="K55" s="270">
        <v>670</v>
      </c>
      <c r="L55" s="270">
        <v>4</v>
      </c>
      <c r="M55" s="272">
        <v>13.4</v>
      </c>
      <c r="S55" s="271" t="s">
        <v>1249</v>
      </c>
    </row>
    <row r="56" spans="1:19">
      <c r="A56" s="238">
        <v>55</v>
      </c>
      <c r="B56" s="265" t="s">
        <v>670</v>
      </c>
      <c r="C56" s="237">
        <v>19352</v>
      </c>
      <c r="D56" s="237">
        <v>40603</v>
      </c>
      <c r="E56" s="237">
        <v>32143</v>
      </c>
      <c r="F56" s="238" t="s">
        <v>1266</v>
      </c>
      <c r="G56" s="236">
        <v>6.5</v>
      </c>
      <c r="I56" s="270" t="s">
        <v>1261</v>
      </c>
      <c r="J56" s="238" t="s">
        <v>1267</v>
      </c>
      <c r="K56" s="270">
        <v>651</v>
      </c>
      <c r="L56" s="270">
        <v>1</v>
      </c>
      <c r="M56" s="274">
        <v>12.86</v>
      </c>
      <c r="O56" s="238">
        <v>0.22</v>
      </c>
      <c r="S56" s="271" t="s">
        <v>1251</v>
      </c>
    </row>
    <row r="57" spans="1:19">
      <c r="A57" s="238">
        <v>56</v>
      </c>
      <c r="B57" s="265" t="s">
        <v>670</v>
      </c>
      <c r="C57" s="237">
        <v>20566</v>
      </c>
      <c r="D57" s="237">
        <v>41165</v>
      </c>
      <c r="E57" s="237">
        <v>41165</v>
      </c>
      <c r="F57" s="238" t="s">
        <v>1266</v>
      </c>
      <c r="G57" s="236">
        <v>6.5</v>
      </c>
      <c r="I57" s="270" t="s">
        <v>1249</v>
      </c>
      <c r="J57" s="238" t="s">
        <v>1267</v>
      </c>
      <c r="K57" s="270">
        <v>651</v>
      </c>
      <c r="L57" s="270">
        <v>1</v>
      </c>
      <c r="M57" s="274">
        <v>12.86</v>
      </c>
      <c r="S57" s="271" t="s">
        <v>1249</v>
      </c>
    </row>
  </sheetData>
  <autoFilter ref="A1:S1" xr:uid="{A2FFBA58-1CED-4CD5-867A-356570F7E68D}"/>
  <pageMargins left="0.7" right="0.7" top="0.75" bottom="0.75" header="0.3" footer="0.3"/>
  <pageSetup paperSize="9" scale="4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1">
    <tabColor theme="0" tint="-0.14999847407452621"/>
    <pageSetUpPr fitToPage="1"/>
  </sheetPr>
  <dimension ref="A1:T163"/>
  <sheetViews>
    <sheetView view="pageBreakPreview" zoomScaleNormal="100" zoomScaleSheetLayoutView="100" workbookViewId="0">
      <selection sqref="A1:F1"/>
    </sheetView>
  </sheetViews>
  <sheetFormatPr defaultColWidth="14.140625" defaultRowHeight="15" customHeight="1"/>
  <cols>
    <col min="1" max="1" width="14.140625" style="5"/>
    <col min="2" max="2" width="39" style="2" customWidth="1"/>
    <col min="3" max="3" width="14.140625" style="2"/>
    <col min="4" max="4" width="32.5703125" style="7" customWidth="1"/>
    <col min="5" max="5" width="12.140625" style="2" bestFit="1" customWidth="1"/>
    <col min="6" max="6" width="30.28515625" style="2" customWidth="1"/>
    <col min="7" max="7" width="14.140625" style="2"/>
    <col min="8" max="8" width="14.140625" style="6"/>
    <col min="9" max="9" width="14.140625" style="2"/>
    <col min="10" max="10" width="14.140625" style="5"/>
    <col min="11" max="15" width="14.140625" style="1"/>
    <col min="16" max="16384" width="14.140625" style="2"/>
  </cols>
  <sheetData>
    <row r="1" spans="1:16" s="9" customFormat="1" ht="26.25" customHeight="1">
      <c r="A1" s="336" t="s">
        <v>117</v>
      </c>
      <c r="B1" s="336"/>
      <c r="C1" s="336"/>
      <c r="D1" s="336"/>
      <c r="E1" s="336"/>
      <c r="F1" s="336"/>
      <c r="G1" s="79"/>
      <c r="H1" s="79"/>
      <c r="I1" s="79"/>
      <c r="J1" s="79"/>
      <c r="K1" s="79"/>
      <c r="L1" s="79"/>
      <c r="M1" s="79"/>
    </row>
    <row r="2" spans="1:16" s="9" customFormat="1" ht="15" customHeight="1">
      <c r="A2" s="334" t="s">
        <v>214</v>
      </c>
      <c r="B2" s="335"/>
      <c r="C2" s="335"/>
      <c r="D2" s="335"/>
      <c r="E2" s="335"/>
      <c r="F2" s="335"/>
      <c r="G2" s="126"/>
      <c r="H2" s="126"/>
      <c r="I2" s="126"/>
      <c r="J2" s="126"/>
      <c r="K2" s="126"/>
      <c r="L2" s="126"/>
      <c r="M2" s="126"/>
      <c r="N2" s="126"/>
    </row>
    <row r="3" spans="1:16" s="70" customFormat="1" ht="15" customHeight="1">
      <c r="A3" s="71"/>
      <c r="E3" s="90"/>
      <c r="F3" s="90"/>
      <c r="I3" s="91"/>
      <c r="K3" s="92"/>
      <c r="L3" s="71"/>
      <c r="M3" s="71"/>
      <c r="N3" s="71"/>
      <c r="O3" s="71"/>
      <c r="P3" s="71"/>
    </row>
    <row r="4" spans="1:16" s="70" customFormat="1" ht="15" customHeight="1">
      <c r="A4" s="71"/>
      <c r="E4" s="90"/>
      <c r="F4" s="90"/>
      <c r="I4" s="91"/>
      <c r="K4" s="92"/>
      <c r="L4" s="71"/>
      <c r="M4" s="71"/>
      <c r="N4" s="71"/>
      <c r="O4" s="71"/>
      <c r="P4" s="71"/>
    </row>
    <row r="5" spans="1:16" s="70" customFormat="1" ht="26.25" customHeight="1">
      <c r="A5" s="93" t="s">
        <v>238</v>
      </c>
      <c r="B5" s="93"/>
      <c r="C5" s="93"/>
      <c r="D5" s="93"/>
      <c r="E5" s="85"/>
      <c r="F5" s="85"/>
      <c r="I5" s="91"/>
      <c r="K5" s="92"/>
      <c r="L5" s="71"/>
      <c r="M5" s="71"/>
      <c r="N5" s="71"/>
      <c r="O5" s="71"/>
      <c r="P5" s="71"/>
    </row>
    <row r="6" spans="1:16" s="70" customFormat="1" ht="26.25" customHeight="1" thickBot="1">
      <c r="A6" s="119" t="s">
        <v>34</v>
      </c>
      <c r="B6" s="120" t="s">
        <v>142</v>
      </c>
      <c r="C6" s="117" t="s">
        <v>105</v>
      </c>
      <c r="D6" s="121" t="s">
        <v>65</v>
      </c>
      <c r="E6" s="122" t="s">
        <v>64</v>
      </c>
      <c r="F6" s="4" t="s">
        <v>30</v>
      </c>
      <c r="I6" s="91"/>
      <c r="K6" s="92"/>
      <c r="L6" s="71"/>
      <c r="M6" s="71"/>
      <c r="N6" s="71"/>
      <c r="O6" s="71"/>
      <c r="P6" s="71"/>
    </row>
    <row r="7" spans="1:16" s="70" customFormat="1" ht="15" customHeight="1" thickTop="1">
      <c r="A7" s="177">
        <v>1</v>
      </c>
      <c r="B7" s="123" t="s">
        <v>1240</v>
      </c>
      <c r="C7" s="118">
        <v>1</v>
      </c>
      <c r="D7" s="123" t="s">
        <v>398</v>
      </c>
      <c r="E7" s="188" t="s">
        <v>1269</v>
      </c>
      <c r="F7" s="123" t="s">
        <v>399</v>
      </c>
      <c r="I7" s="91"/>
      <c r="K7" s="92"/>
      <c r="L7" s="71"/>
      <c r="M7" s="71"/>
      <c r="N7" s="71"/>
      <c r="O7" s="71"/>
      <c r="P7" s="71"/>
    </row>
    <row r="8" spans="1:16" s="70" customFormat="1" ht="15" customHeight="1">
      <c r="A8" s="177">
        <v>2</v>
      </c>
      <c r="B8" s="4" t="s">
        <v>401</v>
      </c>
      <c r="C8" s="118">
        <v>1</v>
      </c>
      <c r="D8" s="123" t="s">
        <v>400</v>
      </c>
      <c r="E8" s="188" t="s">
        <v>665</v>
      </c>
      <c r="F8" s="123" t="s">
        <v>401</v>
      </c>
      <c r="I8" s="91"/>
      <c r="K8" s="92"/>
      <c r="L8" s="71"/>
      <c r="M8" s="71"/>
      <c r="N8" s="71"/>
      <c r="O8" s="71"/>
      <c r="P8" s="71"/>
    </row>
    <row r="9" spans="1:16" s="70" customFormat="1" ht="15" customHeight="1">
      <c r="A9" s="177">
        <v>3</v>
      </c>
      <c r="B9" s="188" t="s">
        <v>402</v>
      </c>
      <c r="C9" s="118">
        <v>1</v>
      </c>
      <c r="D9" s="229" t="s">
        <v>1241</v>
      </c>
      <c r="E9" s="188" t="s">
        <v>666</v>
      </c>
      <c r="F9" s="230" t="s">
        <v>402</v>
      </c>
      <c r="I9" s="91"/>
      <c r="K9" s="92"/>
      <c r="L9" s="71"/>
      <c r="M9" s="71"/>
      <c r="N9" s="71"/>
      <c r="O9" s="71"/>
      <c r="P9" s="71"/>
    </row>
    <row r="10" spans="1:16" s="70" customFormat="1" ht="15" customHeight="1">
      <c r="A10" s="177">
        <v>4</v>
      </c>
      <c r="B10" s="188" t="s">
        <v>403</v>
      </c>
      <c r="C10" s="118">
        <v>1</v>
      </c>
      <c r="D10" s="188" t="s">
        <v>404</v>
      </c>
      <c r="E10" s="188" t="s">
        <v>667</v>
      </c>
      <c r="F10" s="230" t="s">
        <v>399</v>
      </c>
      <c r="I10" s="91"/>
      <c r="K10" s="92"/>
      <c r="L10" s="71"/>
      <c r="M10" s="71"/>
      <c r="N10" s="71"/>
      <c r="O10" s="71"/>
      <c r="P10" s="71"/>
    </row>
    <row r="11" spans="1:16" s="70" customFormat="1" ht="15" customHeight="1">
      <c r="A11" s="177">
        <v>5</v>
      </c>
      <c r="B11" s="188" t="s">
        <v>1239</v>
      </c>
      <c r="C11" s="118">
        <v>1</v>
      </c>
      <c r="D11" s="188" t="s">
        <v>405</v>
      </c>
      <c r="E11" s="188" t="s">
        <v>668</v>
      </c>
      <c r="F11" s="230" t="s">
        <v>399</v>
      </c>
      <c r="I11" s="91"/>
      <c r="K11" s="92"/>
      <c r="L11" s="71"/>
      <c r="M11" s="71"/>
      <c r="N11" s="71"/>
      <c r="O11" s="71"/>
      <c r="P11" s="71"/>
    </row>
    <row r="12" spans="1:16" s="70" customFormat="1" ht="15" customHeight="1">
      <c r="A12" s="177">
        <v>6</v>
      </c>
      <c r="B12" s="188" t="s">
        <v>1242</v>
      </c>
      <c r="C12" s="118">
        <v>1</v>
      </c>
      <c r="D12" s="188" t="s">
        <v>406</v>
      </c>
      <c r="E12" s="188" t="s">
        <v>669</v>
      </c>
      <c r="F12" s="230" t="s">
        <v>399</v>
      </c>
      <c r="I12" s="91"/>
      <c r="K12" s="92"/>
      <c r="L12" s="71"/>
      <c r="M12" s="71"/>
      <c r="N12" s="71"/>
      <c r="O12" s="71"/>
      <c r="P12" s="71"/>
    </row>
    <row r="13" spans="1:16" s="70" customFormat="1" ht="15" customHeight="1">
      <c r="A13" s="177">
        <v>7</v>
      </c>
      <c r="B13" s="188" t="s">
        <v>670</v>
      </c>
      <c r="C13" s="118">
        <v>1</v>
      </c>
      <c r="D13" s="229" t="s">
        <v>671</v>
      </c>
      <c r="E13" s="189" t="s">
        <v>672</v>
      </c>
      <c r="F13" s="230" t="s">
        <v>673</v>
      </c>
      <c r="I13" s="91"/>
      <c r="K13" s="92"/>
      <c r="L13" s="71"/>
      <c r="M13" s="71"/>
      <c r="N13" s="71"/>
      <c r="O13" s="71"/>
      <c r="P13" s="71"/>
    </row>
    <row r="14" spans="1:16" s="70" customFormat="1" ht="15" customHeight="1">
      <c r="A14" s="197"/>
      <c r="B14" s="198"/>
      <c r="C14" s="198"/>
      <c r="D14" s="198"/>
      <c r="E14" s="199"/>
      <c r="F14" s="199"/>
      <c r="I14" s="91"/>
      <c r="K14" s="92"/>
      <c r="L14" s="71"/>
      <c r="M14" s="71"/>
      <c r="N14" s="71"/>
      <c r="O14" s="71"/>
      <c r="P14" s="71"/>
    </row>
    <row r="15" spans="1:16" s="70" customFormat="1" ht="15" customHeight="1">
      <c r="A15" s="102" t="s">
        <v>239</v>
      </c>
      <c r="B15" s="85"/>
      <c r="C15" s="85"/>
      <c r="D15" s="85"/>
      <c r="E15" s="90"/>
      <c r="F15" s="90"/>
      <c r="I15" s="91"/>
      <c r="K15" s="92"/>
      <c r="L15" s="71"/>
      <c r="M15" s="71"/>
      <c r="N15" s="71"/>
      <c r="O15" s="71"/>
      <c r="P15" s="71"/>
    </row>
    <row r="16" spans="1:16" s="70" customFormat="1" ht="15" customHeight="1">
      <c r="A16" s="101" t="s">
        <v>34</v>
      </c>
      <c r="B16" s="29" t="s">
        <v>103</v>
      </c>
      <c r="C16" s="8" t="s">
        <v>102</v>
      </c>
      <c r="D16" s="101" t="s">
        <v>206</v>
      </c>
      <c r="E16" s="90"/>
      <c r="F16" s="90"/>
      <c r="I16" s="91"/>
      <c r="K16" s="92"/>
      <c r="L16" s="71"/>
      <c r="M16" s="71"/>
      <c r="N16" s="71"/>
      <c r="O16" s="71"/>
      <c r="P16" s="71"/>
    </row>
    <row r="17" spans="1:18" s="70" customFormat="1" ht="15" customHeight="1">
      <c r="A17" s="30">
        <v>1</v>
      </c>
      <c r="B17" s="9" t="s">
        <v>59</v>
      </c>
      <c r="C17" s="103">
        <v>0</v>
      </c>
      <c r="D17" s="150" t="s">
        <v>232</v>
      </c>
      <c r="E17" s="90"/>
      <c r="F17" s="90"/>
      <c r="I17" s="91"/>
      <c r="K17" s="92"/>
      <c r="L17" s="71"/>
      <c r="M17" s="71"/>
      <c r="N17" s="71"/>
      <c r="O17" s="71"/>
      <c r="P17" s="71"/>
    </row>
    <row r="18" spans="1:18" s="70" customFormat="1" ht="15" customHeight="1">
      <c r="A18" s="30">
        <v>2</v>
      </c>
      <c r="B18" s="9" t="s">
        <v>1213</v>
      </c>
      <c r="C18" s="103">
        <v>0</v>
      </c>
      <c r="D18" s="150" t="s">
        <v>235</v>
      </c>
      <c r="E18" s="90"/>
      <c r="F18" s="85"/>
      <c r="I18" s="91"/>
      <c r="K18" s="92"/>
      <c r="L18" s="71"/>
      <c r="M18" s="71"/>
      <c r="N18" s="71"/>
      <c r="O18" s="71"/>
      <c r="P18" s="71"/>
    </row>
    <row r="19" spans="1:18" s="70" customFormat="1" ht="11.25">
      <c r="A19" s="30">
        <v>3</v>
      </c>
      <c r="B19" s="9" t="s">
        <v>60</v>
      </c>
      <c r="C19" s="103">
        <v>0</v>
      </c>
      <c r="D19" s="150" t="s">
        <v>232</v>
      </c>
      <c r="E19" s="90"/>
      <c r="F19" s="72"/>
      <c r="I19" s="91"/>
      <c r="K19" s="92"/>
      <c r="L19" s="71"/>
      <c r="M19" s="71"/>
      <c r="N19" s="71"/>
      <c r="O19" s="71"/>
      <c r="P19" s="71"/>
    </row>
    <row r="20" spans="1:18" s="70" customFormat="1" ht="14.25" customHeight="1">
      <c r="A20" s="30">
        <v>4</v>
      </c>
      <c r="B20" s="9" t="s">
        <v>377</v>
      </c>
      <c r="C20" s="103">
        <v>0</v>
      </c>
      <c r="D20" s="150" t="s">
        <v>235</v>
      </c>
      <c r="E20" s="90"/>
      <c r="F20" s="85"/>
      <c r="I20" s="91"/>
      <c r="K20" s="92"/>
      <c r="L20" s="71"/>
      <c r="M20" s="71"/>
      <c r="N20" s="71"/>
      <c r="O20" s="71"/>
      <c r="P20" s="71"/>
    </row>
    <row r="21" spans="1:18" s="70" customFormat="1" ht="15" customHeight="1">
      <c r="A21" s="30">
        <v>5</v>
      </c>
      <c r="B21" s="9" t="s">
        <v>22</v>
      </c>
      <c r="C21" s="103">
        <v>0</v>
      </c>
      <c r="D21" s="150" t="s">
        <v>233</v>
      </c>
      <c r="E21" s="90"/>
      <c r="F21" s="85"/>
      <c r="I21" s="91"/>
      <c r="K21" s="92"/>
      <c r="L21" s="71"/>
      <c r="M21" s="71"/>
      <c r="N21" s="71"/>
      <c r="O21" s="71"/>
      <c r="P21" s="71"/>
    </row>
    <row r="22" spans="1:18" s="85" customFormat="1" ht="15" customHeight="1">
      <c r="A22" s="30">
        <v>6</v>
      </c>
      <c r="B22" s="9" t="s">
        <v>61</v>
      </c>
      <c r="C22" s="103">
        <v>0</v>
      </c>
      <c r="D22" s="150" t="s">
        <v>232</v>
      </c>
      <c r="E22" s="90"/>
      <c r="J22" s="94"/>
      <c r="O22" s="95"/>
      <c r="P22" s="95"/>
      <c r="Q22" s="95"/>
    </row>
    <row r="23" spans="1:18" s="31" customFormat="1" ht="15" customHeight="1">
      <c r="A23" s="30">
        <v>7</v>
      </c>
      <c r="B23" s="9" t="s">
        <v>1214</v>
      </c>
      <c r="C23" s="103">
        <v>0</v>
      </c>
      <c r="D23" s="150" t="s">
        <v>232</v>
      </c>
      <c r="E23" s="90"/>
      <c r="F23" s="85"/>
      <c r="G23" s="72"/>
      <c r="H23" s="72"/>
      <c r="I23" s="72"/>
      <c r="J23" s="96"/>
      <c r="K23" s="72"/>
      <c r="L23" s="72"/>
      <c r="M23" s="72"/>
      <c r="N23" s="72"/>
      <c r="O23" s="128"/>
      <c r="P23" s="128"/>
      <c r="Q23" s="128"/>
      <c r="R23" s="128"/>
    </row>
    <row r="24" spans="1:18" s="4" customFormat="1" ht="15" customHeight="1">
      <c r="A24" s="30">
        <v>8</v>
      </c>
      <c r="B24" s="9" t="s">
        <v>593</v>
      </c>
      <c r="C24" s="103">
        <v>0</v>
      </c>
      <c r="D24" s="150" t="s">
        <v>232</v>
      </c>
      <c r="E24" s="90"/>
      <c r="F24" s="106"/>
      <c r="G24" s="85"/>
      <c r="H24" s="85"/>
      <c r="I24" s="85"/>
      <c r="J24" s="94"/>
      <c r="K24" s="85"/>
      <c r="L24" s="85"/>
      <c r="M24" s="85"/>
      <c r="N24" s="85"/>
      <c r="O24" s="95"/>
      <c r="P24" s="95"/>
      <c r="Q24" s="95"/>
      <c r="R24" s="95"/>
    </row>
    <row r="25" spans="1:18" s="4" customFormat="1" ht="15" customHeight="1">
      <c r="A25" s="30">
        <v>9</v>
      </c>
      <c r="B25" s="9" t="s">
        <v>1215</v>
      </c>
      <c r="C25" s="103">
        <v>0</v>
      </c>
      <c r="D25" s="150" t="s">
        <v>234</v>
      </c>
      <c r="E25" s="90"/>
      <c r="F25" s="106"/>
      <c r="G25" s="85"/>
      <c r="H25" s="85"/>
      <c r="I25" s="85"/>
      <c r="J25" s="94"/>
      <c r="K25" s="85"/>
      <c r="L25" s="85"/>
      <c r="M25" s="85"/>
      <c r="N25" s="85"/>
      <c r="O25" s="95"/>
      <c r="P25" s="95"/>
      <c r="Q25" s="95"/>
      <c r="R25" s="95"/>
    </row>
    <row r="26" spans="1:18" s="4" customFormat="1" ht="15" customHeight="1">
      <c r="A26" s="30">
        <v>10</v>
      </c>
      <c r="B26" s="9" t="s">
        <v>62</v>
      </c>
      <c r="C26" s="103">
        <v>0</v>
      </c>
      <c r="D26" s="150" t="s">
        <v>232</v>
      </c>
      <c r="E26" s="90"/>
      <c r="F26" s="85"/>
      <c r="G26" s="85"/>
      <c r="H26" s="85"/>
      <c r="I26" s="85"/>
      <c r="J26" s="94"/>
      <c r="K26" s="85"/>
      <c r="L26" s="85"/>
      <c r="M26" s="85"/>
      <c r="N26" s="85"/>
      <c r="O26" s="95"/>
      <c r="P26" s="95"/>
      <c r="Q26" s="95"/>
      <c r="R26" s="95"/>
    </row>
    <row r="27" spans="1:18" s="4" customFormat="1" ht="15" customHeight="1">
      <c r="A27" s="30">
        <v>11</v>
      </c>
      <c r="B27" s="9" t="s">
        <v>1216</v>
      </c>
      <c r="C27" s="103">
        <v>0</v>
      </c>
      <c r="D27" s="150" t="s">
        <v>232</v>
      </c>
      <c r="E27" s="90"/>
      <c r="F27" s="85"/>
      <c r="G27" s="85"/>
      <c r="H27" s="85"/>
      <c r="I27" s="85"/>
      <c r="J27" s="94"/>
      <c r="K27" s="85"/>
      <c r="L27" s="85"/>
      <c r="M27" s="85"/>
      <c r="N27" s="85"/>
      <c r="O27" s="95"/>
      <c r="P27" s="95"/>
      <c r="Q27" s="95"/>
      <c r="R27" s="95"/>
    </row>
    <row r="28" spans="1:18" s="4" customFormat="1" ht="15" customHeight="1">
      <c r="A28" s="30">
        <v>12</v>
      </c>
      <c r="B28" s="9" t="s">
        <v>1217</v>
      </c>
      <c r="C28" s="103">
        <v>0</v>
      </c>
      <c r="D28" s="150" t="s">
        <v>232</v>
      </c>
      <c r="E28" s="90"/>
      <c r="F28" s="85"/>
      <c r="G28" s="106"/>
      <c r="H28" s="85"/>
      <c r="I28" s="85"/>
      <c r="J28" s="94"/>
      <c r="K28" s="85"/>
      <c r="L28" s="85"/>
      <c r="M28" s="85"/>
      <c r="N28" s="85"/>
      <c r="O28" s="95"/>
      <c r="P28" s="95"/>
      <c r="Q28" s="95"/>
      <c r="R28" s="95"/>
    </row>
    <row r="29" spans="1:18" s="4" customFormat="1" ht="15" customHeight="1">
      <c r="A29" s="30">
        <v>13</v>
      </c>
      <c r="B29" s="9" t="s">
        <v>740</v>
      </c>
      <c r="C29" s="103">
        <v>0</v>
      </c>
      <c r="D29" s="150" t="s">
        <v>232</v>
      </c>
      <c r="E29" s="90"/>
      <c r="F29" s="85"/>
      <c r="G29" s="106"/>
      <c r="H29" s="85"/>
      <c r="I29" s="85"/>
      <c r="J29" s="94"/>
      <c r="K29" s="85"/>
      <c r="L29" s="85"/>
      <c r="M29" s="85"/>
      <c r="N29" s="85"/>
      <c r="O29" s="95"/>
      <c r="P29" s="95"/>
      <c r="Q29" s="95"/>
      <c r="R29" s="95"/>
    </row>
    <row r="30" spans="1:18" s="4" customFormat="1" ht="15" customHeight="1">
      <c r="A30" s="30">
        <v>14</v>
      </c>
      <c r="B30" s="9" t="s">
        <v>1218</v>
      </c>
      <c r="C30" s="103">
        <v>0</v>
      </c>
      <c r="D30" s="150" t="s">
        <v>234</v>
      </c>
      <c r="E30" s="90"/>
      <c r="F30" s="85"/>
      <c r="G30" s="85"/>
      <c r="H30" s="85"/>
      <c r="I30" s="94"/>
      <c r="J30" s="85"/>
      <c r="K30" s="85"/>
      <c r="L30" s="85"/>
      <c r="M30" s="85"/>
      <c r="N30" s="85"/>
      <c r="O30" s="95"/>
      <c r="P30" s="95"/>
      <c r="Q30" s="95"/>
      <c r="R30" s="85"/>
    </row>
    <row r="31" spans="1:18" s="4" customFormat="1" ht="15" customHeight="1">
      <c r="A31" s="30">
        <v>15</v>
      </c>
      <c r="B31" s="9" t="s">
        <v>1219</v>
      </c>
      <c r="C31" s="103">
        <v>0</v>
      </c>
      <c r="D31" s="150" t="s">
        <v>232</v>
      </c>
      <c r="E31" s="90"/>
      <c r="F31" s="85"/>
      <c r="G31" s="85"/>
      <c r="H31" s="85"/>
      <c r="I31" s="85"/>
      <c r="J31" s="85"/>
      <c r="K31" s="85"/>
      <c r="L31" s="85"/>
      <c r="M31" s="85"/>
      <c r="N31" s="85"/>
      <c r="O31" s="95"/>
      <c r="P31" s="95"/>
      <c r="Q31" s="95"/>
      <c r="R31" s="85"/>
    </row>
    <row r="32" spans="1:18" s="4" customFormat="1" ht="15" customHeight="1">
      <c r="A32" s="30">
        <v>16</v>
      </c>
      <c r="B32" s="9" t="s">
        <v>1220</v>
      </c>
      <c r="C32" s="103">
        <v>0</v>
      </c>
      <c r="D32" s="150" t="s">
        <v>234</v>
      </c>
      <c r="E32" s="90"/>
      <c r="F32" s="85"/>
      <c r="G32" s="85"/>
      <c r="H32" s="85"/>
      <c r="I32" s="85"/>
      <c r="J32" s="85"/>
      <c r="K32" s="85"/>
      <c r="L32" s="85"/>
      <c r="M32" s="85"/>
      <c r="N32" s="85"/>
      <c r="O32" s="95"/>
      <c r="P32" s="95"/>
      <c r="Q32" s="95"/>
      <c r="R32" s="85"/>
    </row>
    <row r="33" spans="1:20" s="4" customFormat="1" ht="15" customHeight="1">
      <c r="A33" s="30">
        <v>17</v>
      </c>
      <c r="B33" s="9" t="s">
        <v>771</v>
      </c>
      <c r="C33" s="103">
        <v>0</v>
      </c>
      <c r="D33" s="150" t="s">
        <v>232</v>
      </c>
      <c r="E33" s="90"/>
      <c r="F33" s="85"/>
      <c r="G33" s="85"/>
      <c r="H33" s="85"/>
      <c r="I33" s="85"/>
      <c r="J33" s="85"/>
      <c r="K33" s="85"/>
      <c r="L33" s="85"/>
      <c r="M33" s="85"/>
      <c r="N33" s="85"/>
      <c r="O33" s="95"/>
      <c r="P33" s="95"/>
      <c r="Q33" s="95"/>
      <c r="R33" s="85"/>
    </row>
    <row r="34" spans="1:20" s="4" customFormat="1" ht="15" customHeight="1">
      <c r="A34" s="30">
        <v>18</v>
      </c>
      <c r="B34" s="9" t="s">
        <v>619</v>
      </c>
      <c r="C34" s="103">
        <v>0</v>
      </c>
      <c r="D34" s="150" t="s">
        <v>236</v>
      </c>
      <c r="E34" s="90"/>
      <c r="F34" s="85"/>
      <c r="G34" s="85"/>
      <c r="H34" s="85"/>
      <c r="I34" s="85"/>
      <c r="J34" s="85"/>
      <c r="K34" s="85"/>
      <c r="L34" s="85"/>
      <c r="M34" s="85"/>
      <c r="N34" s="85"/>
      <c r="O34" s="95"/>
      <c r="P34" s="95"/>
      <c r="Q34" s="85"/>
      <c r="R34" s="85"/>
    </row>
    <row r="35" spans="1:20" s="4" customFormat="1" ht="15" customHeight="1">
      <c r="A35" s="30">
        <v>19</v>
      </c>
      <c r="B35" s="9" t="s">
        <v>1381</v>
      </c>
      <c r="C35" s="103">
        <v>0</v>
      </c>
      <c r="D35" s="150" t="s">
        <v>232</v>
      </c>
      <c r="E35" s="90"/>
      <c r="F35" s="85"/>
      <c r="G35" s="85"/>
      <c r="H35" s="85"/>
      <c r="I35" s="85"/>
      <c r="J35" s="85"/>
      <c r="K35" s="85"/>
      <c r="L35" s="95"/>
      <c r="M35" s="95"/>
      <c r="N35" s="95"/>
      <c r="O35" s="95"/>
      <c r="P35" s="95"/>
      <c r="Q35" s="85"/>
      <c r="R35" s="85"/>
    </row>
    <row r="36" spans="1:20" s="4" customFormat="1" ht="15" customHeight="1">
      <c r="A36" s="30">
        <v>20</v>
      </c>
      <c r="B36" s="9" t="s">
        <v>63</v>
      </c>
      <c r="C36" s="103">
        <v>0</v>
      </c>
      <c r="D36" s="150" t="s">
        <v>232</v>
      </c>
      <c r="E36" s="90"/>
      <c r="F36" s="85"/>
      <c r="G36" s="85"/>
      <c r="H36" s="85"/>
      <c r="I36" s="85"/>
      <c r="J36" s="85"/>
      <c r="K36" s="85"/>
      <c r="L36" s="95"/>
      <c r="M36" s="95"/>
      <c r="N36" s="95"/>
      <c r="O36" s="95"/>
      <c r="P36" s="95"/>
      <c r="Q36" s="85"/>
      <c r="R36" s="85"/>
    </row>
    <row r="37" spans="1:20" s="4" customFormat="1" ht="15" customHeight="1">
      <c r="A37" s="85"/>
      <c r="B37" s="85"/>
      <c r="C37" s="85"/>
      <c r="D37" s="85"/>
      <c r="E37" s="106"/>
      <c r="F37" s="85"/>
      <c r="G37" s="85"/>
      <c r="H37" s="85"/>
      <c r="I37" s="85"/>
      <c r="J37" s="85"/>
      <c r="K37" s="85"/>
      <c r="L37" s="95"/>
      <c r="M37" s="95"/>
      <c r="N37" s="95"/>
      <c r="O37" s="95"/>
      <c r="P37" s="95"/>
      <c r="Q37" s="85"/>
      <c r="R37" s="85"/>
    </row>
    <row r="38" spans="1:20" s="4" customFormat="1" ht="15" customHeight="1">
      <c r="A38" s="93" t="s">
        <v>240</v>
      </c>
      <c r="B38" s="93"/>
      <c r="C38" s="85"/>
      <c r="D38" s="85"/>
      <c r="E38" s="106"/>
      <c r="F38" s="85"/>
      <c r="G38" s="85"/>
      <c r="H38" s="85"/>
      <c r="I38" s="85"/>
      <c r="J38" s="85"/>
      <c r="K38" s="85"/>
      <c r="L38" s="95"/>
      <c r="M38" s="95"/>
      <c r="N38" s="95"/>
      <c r="O38" s="95"/>
      <c r="P38" s="95"/>
      <c r="Q38" s="85"/>
      <c r="R38" s="85"/>
    </row>
    <row r="39" spans="1:20" s="4" customFormat="1" ht="22.9" customHeight="1">
      <c r="A39" s="32" t="s">
        <v>34</v>
      </c>
      <c r="B39" s="124" t="s">
        <v>128</v>
      </c>
      <c r="C39" s="33" t="s">
        <v>105</v>
      </c>
      <c r="D39" s="8" t="s">
        <v>104</v>
      </c>
      <c r="E39" s="131" t="s">
        <v>205</v>
      </c>
      <c r="F39" s="132" t="s">
        <v>176</v>
      </c>
      <c r="G39" s="85"/>
      <c r="H39" s="85"/>
      <c r="I39" s="85"/>
      <c r="J39" s="85"/>
      <c r="K39" s="85"/>
      <c r="L39" s="95"/>
      <c r="M39" s="95"/>
      <c r="N39" s="95"/>
      <c r="O39" s="95"/>
      <c r="P39" s="95"/>
      <c r="Q39" s="85"/>
      <c r="R39" s="85"/>
    </row>
    <row r="40" spans="1:20" s="4" customFormat="1" ht="15" customHeight="1">
      <c r="A40" s="104" t="s">
        <v>107</v>
      </c>
      <c r="B40" s="30" t="s">
        <v>129</v>
      </c>
      <c r="C40" s="105">
        <v>1</v>
      </c>
      <c r="D40" s="9" t="s">
        <v>110</v>
      </c>
      <c r="E40" s="9"/>
      <c r="F40" s="9"/>
      <c r="G40" s="85"/>
      <c r="H40" s="85"/>
      <c r="I40" s="85"/>
      <c r="J40" s="85"/>
      <c r="K40" s="85"/>
      <c r="L40" s="95"/>
      <c r="M40" s="95"/>
      <c r="N40" s="95"/>
      <c r="O40" s="95"/>
      <c r="P40" s="95"/>
      <c r="Q40" s="85"/>
      <c r="R40" s="85"/>
    </row>
    <row r="41" spans="1:20" s="4" customFormat="1" ht="15" customHeight="1">
      <c r="A41" s="104" t="s">
        <v>106</v>
      </c>
      <c r="B41" s="30" t="s">
        <v>38</v>
      </c>
      <c r="C41" s="105">
        <v>1</v>
      </c>
      <c r="D41" s="9" t="s">
        <v>111</v>
      </c>
      <c r="E41" s="9"/>
      <c r="F41" s="9"/>
      <c r="G41" s="85"/>
      <c r="H41" s="85"/>
      <c r="I41" s="85"/>
      <c r="J41" s="85"/>
      <c r="K41" s="85"/>
      <c r="L41" s="95"/>
      <c r="M41" s="95"/>
      <c r="N41" s="95"/>
      <c r="O41" s="95"/>
      <c r="P41" s="95"/>
      <c r="Q41" s="85"/>
      <c r="R41" s="85"/>
    </row>
    <row r="42" spans="1:20" s="4" customFormat="1" ht="11.25">
      <c r="A42" s="104" t="s">
        <v>108</v>
      </c>
      <c r="B42" s="30" t="s">
        <v>125</v>
      </c>
      <c r="C42" s="105">
        <v>1</v>
      </c>
      <c r="D42" s="9" t="s">
        <v>376</v>
      </c>
      <c r="E42" s="9"/>
      <c r="F42" s="9"/>
      <c r="G42" s="85"/>
      <c r="H42" s="85"/>
      <c r="I42" s="85"/>
      <c r="J42" s="85"/>
      <c r="K42" s="85"/>
      <c r="L42" s="95"/>
      <c r="M42" s="95"/>
      <c r="N42" s="95"/>
      <c r="O42" s="95"/>
      <c r="P42" s="95"/>
      <c r="Q42" s="85"/>
      <c r="R42" s="85"/>
    </row>
    <row r="43" spans="1:20" s="4" customFormat="1" ht="15" customHeight="1">
      <c r="A43" s="104" t="s">
        <v>109</v>
      </c>
      <c r="B43" s="30" t="s">
        <v>126</v>
      </c>
      <c r="C43" s="105">
        <v>1</v>
      </c>
      <c r="D43" s="9" t="s">
        <v>112</v>
      </c>
      <c r="E43" s="9"/>
      <c r="F43" s="9"/>
      <c r="G43" s="106"/>
      <c r="H43" s="85"/>
      <c r="I43" s="85"/>
      <c r="J43" s="85"/>
      <c r="K43" s="85"/>
      <c r="L43" s="85"/>
      <c r="M43" s="85"/>
      <c r="N43" s="95"/>
      <c r="O43" s="95"/>
      <c r="P43" s="95"/>
      <c r="Q43" s="95"/>
      <c r="R43" s="95"/>
      <c r="S43" s="85"/>
      <c r="T43" s="85"/>
    </row>
    <row r="44" spans="1:20" s="4" customFormat="1" ht="15" customHeight="1">
      <c r="A44" s="85"/>
      <c r="B44" s="85"/>
      <c r="C44" s="85"/>
      <c r="D44" s="85"/>
      <c r="E44" s="106"/>
      <c r="F44" s="85"/>
      <c r="G44" s="106"/>
      <c r="H44" s="85"/>
      <c r="I44" s="85"/>
      <c r="J44" s="85"/>
      <c r="K44" s="85"/>
      <c r="L44" s="85"/>
      <c r="M44" s="85"/>
      <c r="N44" s="95"/>
      <c r="O44" s="95"/>
      <c r="P44" s="95"/>
      <c r="Q44" s="95"/>
      <c r="R44" s="95"/>
      <c r="S44" s="85"/>
      <c r="T44" s="85"/>
    </row>
    <row r="45" spans="1:20" s="4" customFormat="1" ht="15" customHeight="1">
      <c r="A45" s="93" t="s">
        <v>113</v>
      </c>
      <c r="B45" s="85"/>
      <c r="C45" s="85"/>
      <c r="D45" s="95"/>
      <c r="E45" s="70"/>
      <c r="F45" s="70"/>
      <c r="G45" s="106"/>
      <c r="H45" s="85"/>
      <c r="I45" s="85"/>
      <c r="J45" s="85"/>
      <c r="K45" s="85"/>
      <c r="L45" s="85"/>
      <c r="M45" s="85"/>
      <c r="N45" s="95"/>
      <c r="O45" s="95"/>
      <c r="P45" s="95"/>
      <c r="Q45" s="95"/>
      <c r="R45" s="95"/>
      <c r="S45" s="85"/>
      <c r="T45" s="85"/>
    </row>
    <row r="46" spans="1:20" s="4" customFormat="1" ht="22.5">
      <c r="A46" s="32" t="s">
        <v>34</v>
      </c>
      <c r="B46" s="8" t="s">
        <v>114</v>
      </c>
      <c r="C46" s="33" t="s">
        <v>105</v>
      </c>
      <c r="D46" s="33" t="s">
        <v>131</v>
      </c>
      <c r="E46" s="70"/>
      <c r="F46" s="70"/>
      <c r="G46" s="106"/>
      <c r="H46" s="85"/>
      <c r="I46" s="85"/>
      <c r="J46" s="85"/>
      <c r="K46" s="85"/>
      <c r="L46" s="85"/>
      <c r="M46" s="85"/>
      <c r="N46" s="95"/>
      <c r="O46" s="95"/>
      <c r="P46" s="95"/>
      <c r="Q46" s="95"/>
      <c r="R46" s="95"/>
      <c r="S46" s="85"/>
      <c r="T46" s="85"/>
    </row>
    <row r="47" spans="1:20" s="4" customFormat="1" ht="15" customHeight="1">
      <c r="A47" s="45" t="s">
        <v>19</v>
      </c>
      <c r="B47" s="46" t="s">
        <v>29</v>
      </c>
      <c r="C47" s="105">
        <v>1</v>
      </c>
      <c r="D47" s="151">
        <v>400</v>
      </c>
      <c r="E47" s="70"/>
      <c r="F47" s="70"/>
      <c r="G47" s="106"/>
      <c r="H47" s="85"/>
      <c r="I47" s="85"/>
      <c r="J47" s="85"/>
      <c r="K47" s="85"/>
      <c r="L47" s="85"/>
      <c r="M47" s="85"/>
      <c r="N47" s="95"/>
      <c r="O47" s="95"/>
      <c r="P47" s="95"/>
      <c r="Q47" s="95"/>
      <c r="R47" s="95"/>
      <c r="S47" s="85"/>
      <c r="T47" s="85"/>
    </row>
    <row r="48" spans="1:20" s="4" customFormat="1" ht="15" customHeight="1">
      <c r="A48" s="47" t="s">
        <v>2</v>
      </c>
      <c r="B48" s="48" t="s">
        <v>1</v>
      </c>
      <c r="C48" s="105">
        <v>1</v>
      </c>
      <c r="D48" s="151">
        <v>200</v>
      </c>
      <c r="E48" s="70"/>
      <c r="F48" s="70"/>
      <c r="G48" s="85"/>
      <c r="H48" s="85"/>
      <c r="I48" s="85"/>
      <c r="J48" s="85"/>
      <c r="K48" s="85"/>
      <c r="L48" s="95"/>
      <c r="M48" s="95"/>
      <c r="N48" s="95"/>
      <c r="O48" s="95"/>
      <c r="P48" s="95"/>
      <c r="Q48" s="85"/>
      <c r="R48" s="85"/>
    </row>
    <row r="49" spans="1:18" s="70" customFormat="1" ht="11.25">
      <c r="A49" s="45" t="s">
        <v>20</v>
      </c>
      <c r="B49" s="46" t="s">
        <v>21</v>
      </c>
      <c r="C49" s="105">
        <v>1</v>
      </c>
      <c r="D49" s="151">
        <v>160</v>
      </c>
      <c r="H49" s="91"/>
      <c r="J49" s="129"/>
      <c r="K49" s="71"/>
      <c r="L49" s="71"/>
      <c r="M49" s="71"/>
      <c r="N49" s="71"/>
      <c r="O49" s="71"/>
    </row>
    <row r="50" spans="1:18" ht="11.25">
      <c r="A50" s="47" t="s">
        <v>18</v>
      </c>
      <c r="B50" s="48" t="s">
        <v>12</v>
      </c>
      <c r="C50" s="105">
        <v>1</v>
      </c>
      <c r="D50" s="151">
        <v>120</v>
      </c>
      <c r="E50" s="70"/>
      <c r="F50" s="70"/>
      <c r="G50" s="91"/>
      <c r="H50" s="70"/>
      <c r="I50" s="130"/>
      <c r="J50" s="71"/>
      <c r="K50" s="71"/>
      <c r="L50" s="71"/>
      <c r="M50" s="71"/>
      <c r="N50" s="71"/>
      <c r="O50" s="70"/>
      <c r="P50" s="70"/>
      <c r="Q50" s="70"/>
    </row>
    <row r="51" spans="1:18" ht="15" customHeight="1">
      <c r="A51" s="45" t="s">
        <v>115</v>
      </c>
      <c r="B51" s="46" t="s">
        <v>116</v>
      </c>
      <c r="C51" s="105">
        <v>1</v>
      </c>
      <c r="D51" s="151">
        <v>100</v>
      </c>
      <c r="E51" s="70"/>
      <c r="F51" s="70"/>
      <c r="G51" s="91"/>
      <c r="H51" s="70"/>
      <c r="I51" s="130"/>
      <c r="J51" s="71"/>
      <c r="K51" s="71"/>
      <c r="L51" s="71"/>
      <c r="M51" s="71"/>
      <c r="N51" s="71"/>
      <c r="O51" s="70"/>
      <c r="P51" s="70"/>
      <c r="Q51" s="70"/>
    </row>
    <row r="52" spans="1:18" ht="15" customHeight="1">
      <c r="A52" s="47" t="s">
        <v>17</v>
      </c>
      <c r="B52" s="48" t="s">
        <v>14</v>
      </c>
      <c r="C52" s="105">
        <v>1</v>
      </c>
      <c r="D52" s="151">
        <v>80</v>
      </c>
      <c r="E52" s="70"/>
      <c r="F52" s="70"/>
      <c r="G52" s="91"/>
      <c r="H52" s="70"/>
      <c r="I52" s="130"/>
      <c r="J52" s="71"/>
      <c r="K52" s="71"/>
      <c r="L52" s="71"/>
      <c r="M52" s="71"/>
      <c r="N52" s="71"/>
      <c r="O52" s="70"/>
      <c r="P52" s="70"/>
      <c r="Q52" s="70"/>
    </row>
    <row r="53" spans="1:18" ht="15" customHeight="1">
      <c r="A53" s="45" t="s">
        <v>15</v>
      </c>
      <c r="B53" s="46" t="s">
        <v>13</v>
      </c>
      <c r="C53" s="105">
        <v>1</v>
      </c>
      <c r="D53" s="151">
        <v>40</v>
      </c>
      <c r="E53" s="70"/>
      <c r="F53" s="70"/>
      <c r="G53" s="91"/>
      <c r="H53" s="70"/>
      <c r="I53" s="130"/>
      <c r="J53" s="71"/>
      <c r="K53" s="71"/>
      <c r="L53" s="71"/>
      <c r="M53" s="71"/>
      <c r="N53" s="71"/>
      <c r="O53" s="70"/>
      <c r="P53" s="70"/>
      <c r="Q53" s="70"/>
    </row>
    <row r="54" spans="1:18" ht="15" customHeight="1">
      <c r="A54" s="47" t="s">
        <v>25</v>
      </c>
      <c r="B54" s="48" t="s">
        <v>28</v>
      </c>
      <c r="C54" s="105">
        <v>1</v>
      </c>
      <c r="D54" s="151">
        <v>80</v>
      </c>
      <c r="E54" s="70"/>
      <c r="F54" s="70"/>
      <c r="G54" s="91"/>
      <c r="H54" s="70"/>
      <c r="I54" s="130"/>
      <c r="J54" s="71"/>
      <c r="K54" s="71"/>
      <c r="L54" s="71"/>
      <c r="M54" s="71"/>
      <c r="N54" s="71"/>
      <c r="O54" s="70"/>
      <c r="P54" s="70"/>
      <c r="Q54" s="70"/>
    </row>
    <row r="55" spans="1:18" ht="15" customHeight="1">
      <c r="A55" s="45" t="s">
        <v>26</v>
      </c>
      <c r="B55" s="46" t="s">
        <v>27</v>
      </c>
      <c r="C55" s="105">
        <v>1</v>
      </c>
      <c r="D55" s="151">
        <v>40</v>
      </c>
      <c r="E55" s="70"/>
      <c r="F55" s="70"/>
      <c r="G55" s="91"/>
      <c r="H55" s="70"/>
      <c r="I55" s="130"/>
      <c r="J55" s="71"/>
      <c r="K55" s="71"/>
      <c r="L55" s="71"/>
      <c r="M55" s="71"/>
      <c r="N55" s="71"/>
      <c r="O55" s="70"/>
      <c r="P55" s="70"/>
      <c r="Q55" s="70"/>
    </row>
    <row r="56" spans="1:18" ht="15" customHeight="1">
      <c r="A56" s="47" t="s">
        <v>16</v>
      </c>
      <c r="B56" s="48" t="s">
        <v>0</v>
      </c>
      <c r="C56" s="105">
        <v>1</v>
      </c>
      <c r="D56" s="151">
        <v>10</v>
      </c>
      <c r="E56" s="70"/>
      <c r="F56" s="70"/>
      <c r="G56" s="91"/>
      <c r="H56" s="70"/>
      <c r="I56" s="130"/>
      <c r="J56" s="71"/>
      <c r="K56" s="71"/>
      <c r="L56" s="71"/>
      <c r="M56" s="71"/>
      <c r="N56" s="71"/>
      <c r="O56" s="70"/>
      <c r="P56" s="70"/>
      <c r="Q56" s="70"/>
    </row>
    <row r="57" spans="1:18" ht="15" customHeight="1">
      <c r="A57" s="107"/>
      <c r="B57" s="95"/>
      <c r="C57" s="95"/>
      <c r="D57" s="95"/>
      <c r="E57" s="70"/>
      <c r="F57" s="70"/>
      <c r="G57" s="91"/>
      <c r="H57" s="70"/>
      <c r="I57" s="130"/>
      <c r="J57" s="71"/>
      <c r="K57" s="71"/>
      <c r="L57" s="71"/>
      <c r="M57" s="71"/>
      <c r="N57" s="71"/>
      <c r="O57" s="70"/>
      <c r="P57" s="70"/>
      <c r="Q57" s="70"/>
    </row>
    <row r="58" spans="1:18" ht="15" customHeight="1">
      <c r="A58" s="130"/>
      <c r="B58" s="70"/>
      <c r="C58" s="70"/>
      <c r="D58" s="90"/>
      <c r="E58" s="70"/>
      <c r="F58" s="70"/>
      <c r="G58" s="91"/>
      <c r="H58" s="70"/>
      <c r="I58" s="130"/>
      <c r="J58" s="71"/>
      <c r="K58" s="71"/>
      <c r="L58" s="71"/>
      <c r="M58" s="71"/>
      <c r="N58" s="71"/>
      <c r="O58" s="70"/>
      <c r="P58" s="70"/>
      <c r="Q58" s="70"/>
    </row>
    <row r="59" spans="1:18" ht="15" customHeight="1">
      <c r="A59" s="130"/>
      <c r="B59" s="70"/>
      <c r="C59" s="70"/>
      <c r="D59" s="90"/>
      <c r="E59" s="70"/>
      <c r="F59" s="70"/>
      <c r="G59" s="91"/>
      <c r="H59" s="70"/>
      <c r="I59" s="130"/>
      <c r="J59" s="71"/>
      <c r="K59" s="71"/>
      <c r="L59" s="71"/>
      <c r="M59" s="71"/>
      <c r="N59" s="71"/>
      <c r="O59" s="70"/>
      <c r="P59" s="70"/>
      <c r="Q59" s="70"/>
    </row>
    <row r="60" spans="1:18" ht="15" customHeight="1">
      <c r="A60" s="130"/>
      <c r="B60" s="70"/>
      <c r="C60" s="70"/>
      <c r="D60" s="90"/>
      <c r="E60" s="70"/>
      <c r="F60" s="70"/>
      <c r="G60" s="91"/>
      <c r="H60" s="70"/>
      <c r="I60" s="130"/>
      <c r="J60" s="71"/>
      <c r="K60" s="71"/>
      <c r="L60" s="71"/>
      <c r="M60" s="71"/>
      <c r="N60" s="71"/>
      <c r="O60" s="70"/>
      <c r="P60" s="70"/>
      <c r="Q60" s="70"/>
    </row>
    <row r="61" spans="1:18" ht="15" customHeight="1">
      <c r="A61" s="130"/>
      <c r="B61" s="70"/>
      <c r="C61" s="70"/>
      <c r="D61" s="90"/>
      <c r="E61" s="70"/>
      <c r="F61" s="70"/>
      <c r="G61" s="70"/>
      <c r="H61" s="91"/>
      <c r="I61" s="70"/>
      <c r="J61" s="130"/>
      <c r="K61" s="71"/>
      <c r="L61" s="71"/>
      <c r="M61" s="71"/>
      <c r="N61" s="71"/>
      <c r="O61" s="71"/>
      <c r="P61" s="70"/>
      <c r="Q61" s="70"/>
      <c r="R61" s="70"/>
    </row>
    <row r="62" spans="1:18" ht="15" customHeight="1">
      <c r="F62" s="70"/>
      <c r="G62" s="70"/>
      <c r="H62" s="91"/>
      <c r="I62" s="70"/>
      <c r="J62" s="130"/>
      <c r="K62" s="71"/>
      <c r="L62" s="71"/>
      <c r="M62" s="71"/>
      <c r="N62" s="71"/>
      <c r="O62" s="71"/>
      <c r="P62" s="70"/>
      <c r="Q62" s="70"/>
      <c r="R62" s="70"/>
    </row>
    <row r="63" spans="1:18" ht="15" customHeight="1">
      <c r="F63" s="70"/>
      <c r="G63" s="70"/>
      <c r="H63" s="91"/>
      <c r="I63" s="70"/>
      <c r="J63" s="130"/>
      <c r="K63" s="71"/>
      <c r="L63" s="71"/>
      <c r="M63" s="71"/>
      <c r="N63" s="71"/>
      <c r="O63" s="71"/>
      <c r="P63" s="70"/>
      <c r="Q63" s="70"/>
      <c r="R63" s="70"/>
    </row>
    <row r="64" spans="1:18" ht="15" customHeight="1">
      <c r="F64" s="70"/>
      <c r="G64" s="70"/>
      <c r="H64" s="91"/>
      <c r="I64" s="70"/>
      <c r="J64" s="130"/>
      <c r="K64" s="71"/>
      <c r="L64" s="71"/>
      <c r="M64" s="71"/>
      <c r="N64" s="71"/>
      <c r="O64" s="71"/>
      <c r="P64" s="70"/>
      <c r="Q64" s="70"/>
      <c r="R64" s="70"/>
    </row>
    <row r="65" spans="6:18" ht="15" customHeight="1">
      <c r="F65" s="70"/>
      <c r="G65" s="70"/>
      <c r="H65" s="91"/>
      <c r="I65" s="70"/>
      <c r="J65" s="130"/>
      <c r="K65" s="71"/>
      <c r="L65" s="71"/>
      <c r="M65" s="71"/>
      <c r="N65" s="71"/>
      <c r="O65" s="71"/>
      <c r="P65" s="70"/>
      <c r="Q65" s="70"/>
      <c r="R65" s="70"/>
    </row>
    <row r="66" spans="6:18" ht="15" customHeight="1">
      <c r="F66" s="70"/>
      <c r="G66" s="70"/>
      <c r="H66" s="91"/>
      <c r="I66" s="70"/>
      <c r="J66" s="130"/>
      <c r="K66" s="71"/>
      <c r="L66" s="71"/>
      <c r="M66" s="71"/>
      <c r="N66" s="71"/>
      <c r="O66" s="71"/>
      <c r="P66" s="70"/>
      <c r="Q66" s="70"/>
      <c r="R66" s="70"/>
    </row>
    <row r="67" spans="6:18" ht="15" customHeight="1">
      <c r="F67" s="70"/>
      <c r="G67" s="70"/>
      <c r="H67" s="91"/>
      <c r="I67" s="70"/>
      <c r="J67" s="130"/>
      <c r="K67" s="71"/>
      <c r="L67" s="71"/>
      <c r="M67" s="71"/>
      <c r="N67" s="71"/>
      <c r="O67" s="71"/>
      <c r="P67" s="70"/>
      <c r="Q67" s="70"/>
      <c r="R67" s="70"/>
    </row>
    <row r="68" spans="6:18" ht="15" customHeight="1">
      <c r="F68" s="70"/>
      <c r="G68" s="70"/>
      <c r="H68" s="91"/>
      <c r="I68" s="70"/>
      <c r="J68" s="130"/>
      <c r="K68" s="71"/>
      <c r="L68" s="71"/>
      <c r="M68" s="71"/>
      <c r="N68" s="71"/>
      <c r="O68" s="71"/>
      <c r="P68" s="70"/>
      <c r="Q68" s="70"/>
      <c r="R68" s="70"/>
    </row>
    <row r="69" spans="6:18" ht="15" customHeight="1">
      <c r="F69" s="70"/>
      <c r="G69" s="70"/>
      <c r="H69" s="91"/>
      <c r="I69" s="70"/>
      <c r="J69" s="130"/>
      <c r="K69" s="71"/>
      <c r="L69" s="71"/>
      <c r="M69" s="71"/>
      <c r="N69" s="71"/>
      <c r="O69" s="71"/>
      <c r="P69" s="70"/>
      <c r="Q69" s="70"/>
      <c r="R69" s="70"/>
    </row>
    <row r="70" spans="6:18" ht="15" customHeight="1">
      <c r="F70" s="70"/>
      <c r="G70" s="70"/>
      <c r="H70" s="91"/>
      <c r="I70" s="70"/>
      <c r="J70" s="130"/>
      <c r="K70" s="71"/>
      <c r="L70" s="71"/>
      <c r="M70" s="71"/>
      <c r="N70" s="71"/>
      <c r="O70" s="71"/>
      <c r="P70" s="70"/>
      <c r="Q70" s="70"/>
      <c r="R70" s="70"/>
    </row>
    <row r="71" spans="6:18" ht="15" customHeight="1">
      <c r="F71" s="70"/>
      <c r="G71" s="70"/>
      <c r="H71" s="91"/>
      <c r="I71" s="70"/>
      <c r="J71" s="130"/>
      <c r="K71" s="71"/>
      <c r="L71" s="71"/>
      <c r="M71" s="71"/>
      <c r="N71" s="71"/>
      <c r="O71" s="71"/>
      <c r="P71" s="70"/>
      <c r="Q71" s="70"/>
      <c r="R71" s="70"/>
    </row>
    <row r="72" spans="6:18" ht="15" customHeight="1">
      <c r="F72" s="70"/>
      <c r="G72" s="70"/>
      <c r="H72" s="91"/>
      <c r="I72" s="70"/>
      <c r="J72" s="130"/>
      <c r="K72" s="71"/>
      <c r="L72" s="71"/>
      <c r="M72" s="71"/>
      <c r="N72" s="71"/>
      <c r="O72" s="71"/>
      <c r="P72" s="70"/>
      <c r="Q72" s="70"/>
      <c r="R72" s="70"/>
    </row>
    <row r="73" spans="6:18" ht="15" customHeight="1">
      <c r="F73" s="70"/>
      <c r="G73" s="70"/>
      <c r="H73" s="91"/>
      <c r="I73" s="70"/>
      <c r="J73" s="130"/>
      <c r="K73" s="71"/>
      <c r="L73" s="71"/>
      <c r="M73" s="71"/>
      <c r="N73" s="71"/>
      <c r="O73" s="71"/>
      <c r="P73" s="70"/>
      <c r="Q73" s="70"/>
      <c r="R73" s="70"/>
    </row>
    <row r="74" spans="6:18" ht="15" customHeight="1">
      <c r="F74" s="70"/>
      <c r="G74" s="70"/>
      <c r="H74" s="91"/>
      <c r="I74" s="70"/>
      <c r="J74" s="130"/>
      <c r="K74" s="71"/>
      <c r="L74" s="71"/>
      <c r="M74" s="71"/>
      <c r="N74" s="71"/>
      <c r="O74" s="71"/>
      <c r="P74" s="70"/>
      <c r="Q74" s="70"/>
      <c r="R74" s="70"/>
    </row>
    <row r="75" spans="6:18" ht="15" customHeight="1">
      <c r="F75" s="70"/>
      <c r="G75" s="70"/>
      <c r="H75" s="91"/>
      <c r="I75" s="70"/>
      <c r="J75" s="130"/>
      <c r="K75" s="71"/>
      <c r="L75" s="71"/>
      <c r="M75" s="71"/>
      <c r="N75" s="71"/>
      <c r="O75" s="71"/>
      <c r="P75" s="70"/>
      <c r="Q75" s="70"/>
      <c r="R75" s="70"/>
    </row>
    <row r="76" spans="6:18" ht="15" customHeight="1">
      <c r="F76" s="70"/>
      <c r="G76" s="70"/>
      <c r="H76" s="91"/>
      <c r="I76" s="70"/>
      <c r="J76" s="130"/>
      <c r="K76" s="71"/>
      <c r="L76" s="71"/>
      <c r="M76" s="71"/>
      <c r="N76" s="71"/>
      <c r="O76" s="71"/>
      <c r="P76" s="70"/>
      <c r="Q76" s="70"/>
      <c r="R76" s="70"/>
    </row>
    <row r="77" spans="6:18" ht="15" customHeight="1">
      <c r="F77" s="70"/>
      <c r="G77" s="70"/>
      <c r="H77" s="91"/>
      <c r="I77" s="70"/>
      <c r="J77" s="130"/>
      <c r="K77" s="71"/>
      <c r="L77" s="71"/>
      <c r="M77" s="71"/>
      <c r="N77" s="71"/>
      <c r="O77" s="71"/>
      <c r="P77" s="70"/>
      <c r="Q77" s="70"/>
      <c r="R77" s="70"/>
    </row>
    <row r="78" spans="6:18" ht="15" customHeight="1">
      <c r="F78" s="70"/>
      <c r="G78" s="70"/>
      <c r="H78" s="91"/>
      <c r="I78" s="70"/>
      <c r="J78" s="130"/>
      <c r="K78" s="71"/>
      <c r="L78" s="71"/>
      <c r="M78" s="71"/>
      <c r="N78" s="71"/>
      <c r="O78" s="71"/>
      <c r="P78" s="70"/>
      <c r="Q78" s="70"/>
      <c r="R78" s="70"/>
    </row>
    <row r="79" spans="6:18" ht="15" customHeight="1">
      <c r="F79" s="70"/>
      <c r="G79" s="70"/>
      <c r="H79" s="91"/>
      <c r="I79" s="70"/>
      <c r="J79" s="130"/>
      <c r="K79" s="71"/>
      <c r="L79" s="71"/>
      <c r="M79" s="71"/>
      <c r="N79" s="71"/>
      <c r="O79" s="71"/>
      <c r="P79" s="70"/>
      <c r="Q79" s="70"/>
      <c r="R79" s="70"/>
    </row>
    <row r="80" spans="6:18" ht="15" customHeight="1">
      <c r="F80" s="70"/>
      <c r="G80" s="70"/>
      <c r="H80" s="91"/>
      <c r="I80" s="70"/>
      <c r="J80" s="130"/>
      <c r="K80" s="71"/>
      <c r="L80" s="71"/>
      <c r="M80" s="71"/>
      <c r="N80" s="71"/>
      <c r="O80" s="71"/>
      <c r="P80" s="70"/>
      <c r="Q80" s="70"/>
      <c r="R80" s="70"/>
    </row>
    <row r="81" spans="6:18" ht="15" customHeight="1">
      <c r="F81" s="70"/>
      <c r="G81" s="70"/>
      <c r="H81" s="91"/>
      <c r="I81" s="70"/>
      <c r="J81" s="130"/>
      <c r="K81" s="71"/>
      <c r="L81" s="71"/>
      <c r="M81" s="71"/>
      <c r="N81" s="71"/>
      <c r="O81" s="71"/>
      <c r="P81" s="70"/>
      <c r="Q81" s="70"/>
      <c r="R81" s="70"/>
    </row>
    <row r="82" spans="6:18" ht="15" customHeight="1">
      <c r="F82" s="70"/>
      <c r="G82" s="70"/>
      <c r="H82" s="91"/>
      <c r="I82" s="70"/>
      <c r="J82" s="130"/>
      <c r="K82" s="71"/>
      <c r="L82" s="71"/>
      <c r="M82" s="71"/>
      <c r="N82" s="71"/>
      <c r="O82" s="71"/>
      <c r="P82" s="70"/>
      <c r="Q82" s="70"/>
      <c r="R82" s="70"/>
    </row>
    <row r="83" spans="6:18" ht="15" customHeight="1">
      <c r="F83" s="70"/>
      <c r="G83" s="70"/>
      <c r="H83" s="91"/>
      <c r="I83" s="70"/>
      <c r="J83" s="130"/>
      <c r="K83" s="71"/>
      <c r="L83" s="71"/>
      <c r="M83" s="71"/>
      <c r="N83" s="71"/>
      <c r="O83" s="71"/>
      <c r="P83" s="70"/>
      <c r="Q83" s="70"/>
      <c r="R83" s="70"/>
    </row>
    <row r="84" spans="6:18" ht="15" customHeight="1">
      <c r="F84" s="70"/>
      <c r="G84" s="70"/>
      <c r="H84" s="91"/>
      <c r="I84" s="70"/>
      <c r="J84" s="130"/>
      <c r="K84" s="71"/>
      <c r="L84" s="71"/>
      <c r="M84" s="71"/>
      <c r="N84" s="71"/>
      <c r="O84" s="71"/>
      <c r="P84" s="70"/>
      <c r="Q84" s="70"/>
      <c r="R84" s="70"/>
    </row>
    <row r="85" spans="6:18" ht="15" customHeight="1">
      <c r="F85" s="70"/>
      <c r="G85" s="70"/>
      <c r="H85" s="91"/>
      <c r="I85" s="70"/>
      <c r="J85" s="130"/>
      <c r="K85" s="71"/>
      <c r="L85" s="71"/>
      <c r="M85" s="71"/>
      <c r="N85" s="71"/>
      <c r="O85" s="71"/>
      <c r="P85" s="70"/>
      <c r="Q85" s="70"/>
      <c r="R85" s="70"/>
    </row>
    <row r="86" spans="6:18" ht="15" customHeight="1">
      <c r="F86" s="70"/>
      <c r="G86" s="70"/>
      <c r="H86" s="91"/>
      <c r="I86" s="70"/>
      <c r="J86" s="130"/>
      <c r="K86" s="71"/>
      <c r="L86" s="71"/>
      <c r="M86" s="71"/>
      <c r="N86" s="71"/>
      <c r="O86" s="71"/>
      <c r="P86" s="70"/>
      <c r="Q86" s="70"/>
      <c r="R86" s="70"/>
    </row>
    <row r="87" spans="6:18" ht="15" customHeight="1">
      <c r="F87" s="70"/>
      <c r="G87" s="70"/>
      <c r="H87" s="91"/>
      <c r="I87" s="70"/>
      <c r="J87" s="130"/>
      <c r="K87" s="71"/>
      <c r="L87" s="71"/>
      <c r="M87" s="71"/>
      <c r="N87" s="71"/>
      <c r="O87" s="71"/>
      <c r="P87" s="70"/>
      <c r="Q87" s="70"/>
      <c r="R87" s="70"/>
    </row>
    <row r="88" spans="6:18" ht="15" customHeight="1">
      <c r="F88" s="70"/>
      <c r="G88" s="70"/>
      <c r="H88" s="91"/>
      <c r="I88" s="70"/>
      <c r="J88" s="130"/>
      <c r="K88" s="71"/>
      <c r="L88" s="71"/>
      <c r="M88" s="71"/>
      <c r="N88" s="71"/>
      <c r="O88" s="71"/>
      <c r="P88" s="70"/>
      <c r="Q88" s="70"/>
      <c r="R88" s="70"/>
    </row>
    <row r="89" spans="6:18" ht="15" customHeight="1">
      <c r="F89" s="70"/>
      <c r="G89" s="70"/>
      <c r="H89" s="91"/>
      <c r="I89" s="70"/>
      <c r="J89" s="130"/>
      <c r="K89" s="71"/>
      <c r="L89" s="71"/>
      <c r="M89" s="71"/>
      <c r="N89" s="71"/>
      <c r="O89" s="71"/>
      <c r="P89" s="70"/>
      <c r="Q89" s="70"/>
      <c r="R89" s="70"/>
    </row>
    <row r="90" spans="6:18" ht="15" customHeight="1">
      <c r="F90" s="70"/>
      <c r="G90" s="70"/>
      <c r="H90" s="91"/>
      <c r="I90" s="70"/>
      <c r="J90" s="130"/>
      <c r="K90" s="71"/>
      <c r="L90" s="71"/>
      <c r="M90" s="71"/>
      <c r="N90" s="71"/>
      <c r="O90" s="71"/>
      <c r="P90" s="70"/>
      <c r="Q90" s="70"/>
      <c r="R90" s="70"/>
    </row>
    <row r="91" spans="6:18" ht="15" customHeight="1">
      <c r="F91" s="70"/>
      <c r="G91" s="70"/>
      <c r="H91" s="91"/>
      <c r="I91" s="70"/>
      <c r="J91" s="130"/>
      <c r="K91" s="71"/>
      <c r="L91" s="71"/>
      <c r="M91" s="71"/>
      <c r="N91" s="71"/>
      <c r="O91" s="71"/>
      <c r="P91" s="70"/>
      <c r="Q91" s="70"/>
      <c r="R91" s="70"/>
    </row>
    <row r="92" spans="6:18" ht="15" customHeight="1">
      <c r="F92" s="70"/>
      <c r="G92" s="70"/>
      <c r="H92" s="91"/>
      <c r="I92" s="70"/>
      <c r="J92" s="130"/>
      <c r="K92" s="71"/>
      <c r="L92" s="71"/>
      <c r="M92" s="71"/>
      <c r="N92" s="71"/>
      <c r="O92" s="71"/>
      <c r="P92" s="70"/>
      <c r="Q92" s="70"/>
      <c r="R92" s="70"/>
    </row>
    <row r="93" spans="6:18" ht="15" customHeight="1">
      <c r="F93" s="70"/>
      <c r="G93" s="70"/>
      <c r="H93" s="91"/>
      <c r="I93" s="70"/>
      <c r="J93" s="130"/>
      <c r="K93" s="71"/>
      <c r="L93" s="71"/>
      <c r="M93" s="71"/>
      <c r="N93" s="71"/>
      <c r="O93" s="71"/>
      <c r="P93" s="70"/>
      <c r="Q93" s="70"/>
      <c r="R93" s="70"/>
    </row>
    <row r="94" spans="6:18" ht="15" customHeight="1">
      <c r="F94" s="70"/>
      <c r="G94" s="70"/>
      <c r="H94" s="91"/>
      <c r="I94" s="70"/>
      <c r="J94" s="130"/>
      <c r="K94" s="71"/>
      <c r="L94" s="71"/>
      <c r="M94" s="71"/>
      <c r="N94" s="71"/>
      <c r="O94" s="71"/>
      <c r="P94" s="70"/>
      <c r="Q94" s="70"/>
      <c r="R94" s="70"/>
    </row>
    <row r="95" spans="6:18" ht="15" customHeight="1">
      <c r="F95" s="70"/>
      <c r="G95" s="70"/>
      <c r="H95" s="91"/>
      <c r="I95" s="70"/>
      <c r="J95" s="130"/>
      <c r="K95" s="71"/>
      <c r="L95" s="71"/>
      <c r="M95" s="71"/>
      <c r="N95" s="71"/>
      <c r="O95" s="71"/>
      <c r="P95" s="70"/>
      <c r="Q95" s="70"/>
      <c r="R95" s="70"/>
    </row>
    <row r="96" spans="6:18" ht="15" customHeight="1">
      <c r="F96" s="70"/>
      <c r="G96" s="70"/>
      <c r="H96" s="91"/>
      <c r="I96" s="70"/>
      <c r="J96" s="130"/>
      <c r="K96" s="71"/>
      <c r="L96" s="71"/>
      <c r="M96" s="71"/>
      <c r="N96" s="71"/>
      <c r="O96" s="71"/>
      <c r="P96" s="70"/>
      <c r="Q96" s="70"/>
      <c r="R96" s="70"/>
    </row>
    <row r="97" spans="6:18" ht="15" customHeight="1">
      <c r="F97" s="70"/>
      <c r="G97" s="70"/>
      <c r="H97" s="91"/>
      <c r="I97" s="70"/>
      <c r="J97" s="130"/>
      <c r="K97" s="71"/>
      <c r="L97" s="71"/>
      <c r="M97" s="71"/>
      <c r="N97" s="71"/>
      <c r="O97" s="71"/>
      <c r="P97" s="70"/>
      <c r="Q97" s="70"/>
      <c r="R97" s="70"/>
    </row>
    <row r="98" spans="6:18" ht="15" customHeight="1">
      <c r="F98" s="70"/>
      <c r="G98" s="70"/>
      <c r="H98" s="91"/>
      <c r="I98" s="70"/>
      <c r="J98" s="130"/>
      <c r="K98" s="71"/>
      <c r="L98" s="71"/>
      <c r="M98" s="71"/>
      <c r="N98" s="71"/>
      <c r="O98" s="71"/>
      <c r="P98" s="70"/>
      <c r="Q98" s="70"/>
      <c r="R98" s="70"/>
    </row>
    <row r="99" spans="6:18" ht="15" customHeight="1">
      <c r="F99" s="70"/>
      <c r="G99" s="70"/>
      <c r="H99" s="91"/>
      <c r="I99" s="70"/>
      <c r="J99" s="130"/>
      <c r="K99" s="71"/>
      <c r="L99" s="71"/>
      <c r="M99" s="71"/>
      <c r="N99" s="71"/>
      <c r="O99" s="71"/>
      <c r="P99" s="70"/>
      <c r="Q99" s="70"/>
      <c r="R99" s="70"/>
    </row>
    <row r="100" spans="6:18" ht="15" customHeight="1">
      <c r="F100" s="70"/>
      <c r="G100" s="70"/>
      <c r="H100" s="91"/>
      <c r="I100" s="70"/>
      <c r="J100" s="130"/>
      <c r="K100" s="71"/>
      <c r="L100" s="71"/>
      <c r="M100" s="71"/>
      <c r="N100" s="71"/>
      <c r="O100" s="71"/>
      <c r="P100" s="70"/>
      <c r="Q100" s="70"/>
      <c r="R100" s="70"/>
    </row>
    <row r="101" spans="6:18" ht="15" customHeight="1">
      <c r="F101" s="70"/>
      <c r="G101" s="70"/>
      <c r="H101" s="91"/>
      <c r="I101" s="70"/>
      <c r="J101" s="130"/>
      <c r="K101" s="71"/>
      <c r="L101" s="71"/>
      <c r="M101" s="71"/>
      <c r="N101" s="71"/>
      <c r="O101" s="71"/>
      <c r="P101" s="70"/>
      <c r="Q101" s="70"/>
      <c r="R101" s="70"/>
    </row>
    <row r="102" spans="6:18" ht="15" customHeight="1">
      <c r="F102" s="70"/>
      <c r="G102" s="70"/>
      <c r="H102" s="91"/>
      <c r="I102" s="70"/>
      <c r="J102" s="130"/>
      <c r="K102" s="71"/>
      <c r="L102" s="71"/>
      <c r="M102" s="71"/>
      <c r="N102" s="71"/>
      <c r="O102" s="71"/>
      <c r="P102" s="70"/>
      <c r="Q102" s="70"/>
      <c r="R102" s="70"/>
    </row>
    <row r="103" spans="6:18" ht="15" customHeight="1">
      <c r="F103" s="70"/>
      <c r="G103" s="70"/>
      <c r="H103" s="91"/>
      <c r="I103" s="70"/>
      <c r="J103" s="130"/>
      <c r="K103" s="71"/>
      <c r="L103" s="71"/>
      <c r="M103" s="71"/>
      <c r="N103" s="71"/>
      <c r="O103" s="71"/>
      <c r="P103" s="70"/>
      <c r="Q103" s="70"/>
      <c r="R103" s="70"/>
    </row>
    <row r="104" spans="6:18" ht="15" customHeight="1">
      <c r="F104" s="70"/>
      <c r="G104" s="70"/>
      <c r="H104" s="91"/>
      <c r="I104" s="70"/>
      <c r="J104" s="130"/>
      <c r="K104" s="71"/>
      <c r="L104" s="71"/>
      <c r="M104" s="71"/>
      <c r="N104" s="71"/>
      <c r="O104" s="71"/>
      <c r="P104" s="70"/>
      <c r="Q104" s="70"/>
      <c r="R104" s="70"/>
    </row>
    <row r="105" spans="6:18" ht="15" customHeight="1">
      <c r="F105" s="70"/>
      <c r="G105" s="70"/>
      <c r="H105" s="91"/>
      <c r="I105" s="70"/>
      <c r="J105" s="130"/>
      <c r="K105" s="71"/>
      <c r="L105" s="71"/>
      <c r="M105" s="71"/>
      <c r="N105" s="71"/>
      <c r="O105" s="71"/>
      <c r="P105" s="70"/>
      <c r="Q105" s="70"/>
      <c r="R105" s="70"/>
    </row>
    <row r="106" spans="6:18" ht="15" customHeight="1">
      <c r="F106" s="70"/>
      <c r="G106" s="70"/>
      <c r="H106" s="91"/>
      <c r="I106" s="70"/>
      <c r="J106" s="130"/>
      <c r="K106" s="71"/>
      <c r="L106" s="71"/>
      <c r="M106" s="71"/>
      <c r="N106" s="71"/>
      <c r="O106" s="71"/>
      <c r="P106" s="70"/>
      <c r="Q106" s="70"/>
      <c r="R106" s="70"/>
    </row>
    <row r="107" spans="6:18" ht="15" customHeight="1">
      <c r="F107" s="70"/>
      <c r="G107" s="70"/>
      <c r="H107" s="91"/>
      <c r="I107" s="70"/>
      <c r="J107" s="130"/>
      <c r="K107" s="71"/>
      <c r="L107" s="71"/>
      <c r="M107" s="71"/>
      <c r="N107" s="71"/>
      <c r="O107" s="71"/>
      <c r="P107" s="70"/>
      <c r="Q107" s="70"/>
      <c r="R107" s="70"/>
    </row>
    <row r="108" spans="6:18" ht="15" customHeight="1">
      <c r="F108" s="70"/>
      <c r="G108" s="70"/>
      <c r="H108" s="91"/>
      <c r="I108" s="70"/>
      <c r="J108" s="130"/>
      <c r="K108" s="71"/>
      <c r="L108" s="71"/>
      <c r="M108" s="71"/>
      <c r="N108" s="71"/>
      <c r="O108" s="71"/>
      <c r="P108" s="70"/>
      <c r="Q108" s="70"/>
      <c r="R108" s="70"/>
    </row>
    <row r="109" spans="6:18" ht="15" customHeight="1">
      <c r="F109" s="70"/>
      <c r="G109" s="70"/>
      <c r="H109" s="91"/>
      <c r="I109" s="70"/>
      <c r="J109" s="130"/>
      <c r="K109" s="71"/>
      <c r="L109" s="71"/>
      <c r="M109" s="71"/>
      <c r="N109" s="71"/>
      <c r="O109" s="71"/>
      <c r="P109" s="70"/>
      <c r="Q109" s="70"/>
      <c r="R109" s="70"/>
    </row>
    <row r="110" spans="6:18" ht="15" customHeight="1">
      <c r="F110" s="70"/>
      <c r="G110" s="70"/>
      <c r="H110" s="91"/>
      <c r="I110" s="70"/>
      <c r="J110" s="130"/>
      <c r="K110" s="71"/>
      <c r="L110" s="71"/>
      <c r="M110" s="71"/>
      <c r="N110" s="71"/>
      <c r="O110" s="71"/>
      <c r="P110" s="70"/>
      <c r="Q110" s="70"/>
      <c r="R110" s="70"/>
    </row>
    <row r="111" spans="6:18" ht="15" customHeight="1">
      <c r="F111" s="70"/>
      <c r="G111" s="70"/>
      <c r="H111" s="91"/>
      <c r="I111" s="70"/>
      <c r="J111" s="130"/>
      <c r="K111" s="71"/>
      <c r="L111" s="71"/>
      <c r="M111" s="71"/>
      <c r="N111" s="71"/>
      <c r="O111" s="71"/>
      <c r="P111" s="70"/>
      <c r="Q111" s="70"/>
      <c r="R111" s="70"/>
    </row>
    <row r="112" spans="6:18" ht="15" customHeight="1">
      <c r="F112" s="70"/>
      <c r="G112" s="70"/>
      <c r="H112" s="91"/>
      <c r="I112" s="70"/>
      <c r="J112" s="130"/>
      <c r="K112" s="71"/>
      <c r="L112" s="71"/>
      <c r="M112" s="71"/>
      <c r="N112" s="71"/>
      <c r="O112" s="71"/>
      <c r="P112" s="70"/>
      <c r="Q112" s="70"/>
      <c r="R112" s="70"/>
    </row>
    <row r="113" spans="6:18" ht="15" customHeight="1">
      <c r="F113" s="70"/>
      <c r="G113" s="70"/>
      <c r="H113" s="91"/>
      <c r="I113" s="70"/>
      <c r="J113" s="130"/>
      <c r="K113" s="71"/>
      <c r="L113" s="71"/>
      <c r="M113" s="71"/>
      <c r="N113" s="71"/>
      <c r="O113" s="71"/>
      <c r="P113" s="70"/>
      <c r="Q113" s="70"/>
      <c r="R113" s="70"/>
    </row>
    <row r="114" spans="6:18" ht="15" customHeight="1">
      <c r="F114" s="70"/>
      <c r="G114" s="70"/>
      <c r="H114" s="91"/>
      <c r="I114" s="70"/>
      <c r="J114" s="130"/>
      <c r="K114" s="71"/>
      <c r="L114" s="71"/>
      <c r="M114" s="71"/>
      <c r="N114" s="71"/>
      <c r="O114" s="71"/>
      <c r="P114" s="70"/>
      <c r="Q114" s="70"/>
      <c r="R114" s="70"/>
    </row>
    <row r="115" spans="6:18" ht="15" customHeight="1">
      <c r="F115" s="70"/>
      <c r="G115" s="70"/>
      <c r="H115" s="91"/>
      <c r="I115" s="70"/>
      <c r="J115" s="130"/>
      <c r="K115" s="71"/>
      <c r="L115" s="71"/>
      <c r="M115" s="71"/>
      <c r="N115" s="71"/>
      <c r="O115" s="71"/>
      <c r="P115" s="70"/>
      <c r="Q115" s="70"/>
      <c r="R115" s="70"/>
    </row>
    <row r="116" spans="6:18" ht="15" customHeight="1">
      <c r="F116" s="70"/>
      <c r="G116" s="70"/>
      <c r="H116" s="91"/>
      <c r="I116" s="70"/>
      <c r="J116" s="130"/>
      <c r="K116" s="71"/>
      <c r="L116" s="71"/>
      <c r="M116" s="71"/>
      <c r="N116" s="71"/>
      <c r="O116" s="71"/>
      <c r="P116" s="70"/>
      <c r="Q116" s="70"/>
      <c r="R116" s="70"/>
    </row>
    <row r="117" spans="6:18" ht="15" customHeight="1">
      <c r="F117" s="70"/>
      <c r="G117" s="70"/>
      <c r="H117" s="91"/>
      <c r="I117" s="70"/>
      <c r="J117" s="130"/>
      <c r="K117" s="71"/>
      <c r="L117" s="71"/>
      <c r="M117" s="71"/>
      <c r="N117" s="71"/>
      <c r="O117" s="71"/>
      <c r="P117" s="70"/>
      <c r="Q117" s="70"/>
      <c r="R117" s="70"/>
    </row>
    <row r="118" spans="6:18" ht="15" customHeight="1">
      <c r="F118" s="70"/>
      <c r="G118" s="70"/>
      <c r="H118" s="91"/>
      <c r="I118" s="70"/>
      <c r="J118" s="130"/>
      <c r="K118" s="71"/>
      <c r="L118" s="71"/>
      <c r="M118" s="71"/>
      <c r="N118" s="71"/>
      <c r="O118" s="71"/>
      <c r="P118" s="70"/>
      <c r="Q118" s="70"/>
      <c r="R118" s="70"/>
    </row>
    <row r="119" spans="6:18" ht="15" customHeight="1">
      <c r="F119" s="70"/>
      <c r="G119" s="70"/>
      <c r="H119" s="91"/>
      <c r="I119" s="70"/>
      <c r="J119" s="130"/>
      <c r="K119" s="71"/>
      <c r="L119" s="71"/>
      <c r="M119" s="71"/>
      <c r="N119" s="71"/>
      <c r="O119" s="71"/>
      <c r="P119" s="70"/>
      <c r="Q119" s="70"/>
      <c r="R119" s="70"/>
    </row>
    <row r="120" spans="6:18" ht="15" customHeight="1">
      <c r="F120" s="70"/>
      <c r="G120" s="70"/>
      <c r="H120" s="91"/>
      <c r="I120" s="70"/>
      <c r="J120" s="130"/>
      <c r="K120" s="71"/>
      <c r="L120" s="71"/>
      <c r="M120" s="71"/>
      <c r="N120" s="71"/>
      <c r="O120" s="71"/>
      <c r="P120" s="70"/>
      <c r="Q120" s="70"/>
      <c r="R120" s="70"/>
    </row>
    <row r="121" spans="6:18" ht="15" customHeight="1">
      <c r="F121" s="70"/>
      <c r="G121" s="70"/>
      <c r="H121" s="91"/>
      <c r="I121" s="70"/>
      <c r="J121" s="130"/>
      <c r="K121" s="71"/>
      <c r="L121" s="71"/>
      <c r="M121" s="71"/>
      <c r="N121" s="71"/>
      <c r="O121" s="71"/>
      <c r="P121" s="70"/>
      <c r="Q121" s="70"/>
      <c r="R121" s="70"/>
    </row>
    <row r="122" spans="6:18" ht="15" customHeight="1">
      <c r="F122" s="70"/>
      <c r="G122" s="70"/>
      <c r="H122" s="91"/>
      <c r="I122" s="70"/>
      <c r="J122" s="130"/>
      <c r="K122" s="71"/>
      <c r="L122" s="71"/>
      <c r="M122" s="71"/>
      <c r="N122" s="71"/>
      <c r="O122" s="71"/>
      <c r="P122" s="70"/>
      <c r="Q122" s="70"/>
      <c r="R122" s="70"/>
    </row>
    <row r="123" spans="6:18" ht="15" customHeight="1">
      <c r="F123" s="70"/>
      <c r="G123" s="70"/>
      <c r="H123" s="91"/>
      <c r="I123" s="70"/>
      <c r="J123" s="130"/>
      <c r="K123" s="71"/>
      <c r="L123" s="71"/>
      <c r="M123" s="71"/>
      <c r="N123" s="71"/>
      <c r="O123" s="71"/>
      <c r="P123" s="70"/>
      <c r="Q123" s="70"/>
      <c r="R123" s="70"/>
    </row>
    <row r="124" spans="6:18" ht="15" customHeight="1">
      <c r="F124" s="70"/>
      <c r="G124" s="70"/>
      <c r="H124" s="91"/>
      <c r="I124" s="70"/>
      <c r="J124" s="130"/>
      <c r="K124" s="71"/>
      <c r="L124" s="71"/>
      <c r="M124" s="71"/>
      <c r="N124" s="71"/>
      <c r="O124" s="71"/>
      <c r="P124" s="70"/>
      <c r="Q124" s="70"/>
      <c r="R124" s="70"/>
    </row>
    <row r="125" spans="6:18" ht="15" customHeight="1">
      <c r="F125" s="70"/>
      <c r="G125" s="70"/>
      <c r="H125" s="91"/>
      <c r="I125" s="70"/>
      <c r="J125" s="130"/>
      <c r="K125" s="71"/>
      <c r="L125" s="71"/>
      <c r="M125" s="71"/>
      <c r="N125" s="71"/>
      <c r="O125" s="71"/>
      <c r="P125" s="70"/>
      <c r="Q125" s="70"/>
      <c r="R125" s="70"/>
    </row>
    <row r="126" spans="6:18" ht="15" customHeight="1">
      <c r="F126" s="70"/>
      <c r="G126" s="70"/>
      <c r="H126" s="91"/>
      <c r="I126" s="70"/>
      <c r="J126" s="130"/>
      <c r="K126" s="71"/>
      <c r="L126" s="71"/>
      <c r="M126" s="71"/>
      <c r="N126" s="71"/>
      <c r="O126" s="71"/>
      <c r="P126" s="70"/>
      <c r="Q126" s="70"/>
      <c r="R126" s="70"/>
    </row>
    <row r="127" spans="6:18" ht="15" customHeight="1">
      <c r="F127" s="70"/>
      <c r="G127" s="70"/>
      <c r="H127" s="91"/>
      <c r="I127" s="70"/>
      <c r="J127" s="130"/>
      <c r="K127" s="71"/>
      <c r="L127" s="71"/>
      <c r="M127" s="71"/>
      <c r="N127" s="71"/>
      <c r="O127" s="71"/>
      <c r="P127" s="70"/>
      <c r="Q127" s="70"/>
      <c r="R127" s="70"/>
    </row>
    <row r="128" spans="6:18" ht="15" customHeight="1">
      <c r="F128" s="70"/>
      <c r="G128" s="70"/>
      <c r="H128" s="91"/>
      <c r="I128" s="70"/>
      <c r="J128" s="130"/>
      <c r="K128" s="71"/>
      <c r="L128" s="71"/>
      <c r="M128" s="71"/>
      <c r="N128" s="71"/>
      <c r="O128" s="71"/>
      <c r="P128" s="70"/>
      <c r="Q128" s="70"/>
      <c r="R128" s="70"/>
    </row>
    <row r="129" spans="6:18" ht="15" customHeight="1">
      <c r="F129" s="70"/>
      <c r="G129" s="70"/>
      <c r="H129" s="91"/>
      <c r="I129" s="70"/>
      <c r="J129" s="130"/>
      <c r="K129" s="71"/>
      <c r="L129" s="71"/>
      <c r="M129" s="71"/>
      <c r="N129" s="71"/>
      <c r="O129" s="71"/>
      <c r="P129" s="70"/>
      <c r="Q129" s="70"/>
      <c r="R129" s="70"/>
    </row>
    <row r="130" spans="6:18" ht="15" customHeight="1">
      <c r="F130" s="70"/>
      <c r="G130" s="70"/>
      <c r="H130" s="91"/>
      <c r="I130" s="70"/>
      <c r="J130" s="130"/>
      <c r="K130" s="71"/>
      <c r="L130" s="71"/>
      <c r="M130" s="71"/>
      <c r="N130" s="71"/>
      <c r="O130" s="71"/>
      <c r="P130" s="70"/>
      <c r="Q130" s="70"/>
      <c r="R130" s="70"/>
    </row>
    <row r="131" spans="6:18" ht="15" customHeight="1">
      <c r="F131" s="70"/>
      <c r="G131" s="70"/>
      <c r="H131" s="91"/>
      <c r="I131" s="70"/>
      <c r="J131" s="130"/>
      <c r="K131" s="71"/>
      <c r="L131" s="71"/>
      <c r="M131" s="71"/>
      <c r="N131" s="71"/>
      <c r="O131" s="71"/>
      <c r="P131" s="70"/>
      <c r="Q131" s="70"/>
      <c r="R131" s="70"/>
    </row>
    <row r="132" spans="6:18" ht="15" customHeight="1">
      <c r="F132" s="70"/>
      <c r="G132" s="70"/>
      <c r="H132" s="91"/>
      <c r="I132" s="70"/>
      <c r="J132" s="130"/>
      <c r="K132" s="71"/>
      <c r="L132" s="71"/>
      <c r="M132" s="71"/>
      <c r="N132" s="71"/>
      <c r="O132" s="71"/>
      <c r="P132" s="70"/>
      <c r="Q132" s="70"/>
      <c r="R132" s="70"/>
    </row>
    <row r="133" spans="6:18" ht="15" customHeight="1">
      <c r="F133" s="70"/>
      <c r="G133" s="70"/>
      <c r="H133" s="91"/>
      <c r="I133" s="70"/>
      <c r="J133" s="130"/>
      <c r="K133" s="71"/>
      <c r="L133" s="71"/>
      <c r="M133" s="71"/>
      <c r="N133" s="71"/>
      <c r="O133" s="71"/>
      <c r="P133" s="70"/>
      <c r="Q133" s="70"/>
      <c r="R133" s="70"/>
    </row>
    <row r="134" spans="6:18" ht="15" customHeight="1">
      <c r="F134" s="70"/>
      <c r="G134" s="70"/>
      <c r="H134" s="91"/>
      <c r="I134" s="70"/>
      <c r="J134" s="130"/>
      <c r="K134" s="71"/>
      <c r="L134" s="71"/>
      <c r="M134" s="71"/>
      <c r="N134" s="71"/>
      <c r="O134" s="71"/>
      <c r="P134" s="70"/>
      <c r="Q134" s="70"/>
      <c r="R134" s="70"/>
    </row>
    <row r="135" spans="6:18" ht="15" customHeight="1">
      <c r="F135" s="70"/>
      <c r="G135" s="70"/>
      <c r="H135" s="91"/>
      <c r="I135" s="70"/>
      <c r="J135" s="130"/>
      <c r="K135" s="71"/>
      <c r="L135" s="71"/>
      <c r="M135" s="71"/>
      <c r="N135" s="71"/>
      <c r="O135" s="71"/>
      <c r="P135" s="70"/>
      <c r="Q135" s="70"/>
      <c r="R135" s="70"/>
    </row>
    <row r="136" spans="6:18" ht="15" customHeight="1">
      <c r="F136" s="70"/>
      <c r="G136" s="70"/>
      <c r="H136" s="91"/>
      <c r="I136" s="70"/>
      <c r="J136" s="130"/>
      <c r="K136" s="71"/>
      <c r="L136" s="71"/>
      <c r="M136" s="71"/>
      <c r="N136" s="71"/>
      <c r="O136" s="71"/>
      <c r="P136" s="70"/>
      <c r="Q136" s="70"/>
      <c r="R136" s="70"/>
    </row>
    <row r="137" spans="6:18" ht="15" customHeight="1">
      <c r="F137" s="70"/>
      <c r="G137" s="70"/>
      <c r="H137" s="91"/>
      <c r="I137" s="70"/>
      <c r="J137" s="130"/>
      <c r="K137" s="71"/>
      <c r="L137" s="71"/>
      <c r="M137" s="71"/>
      <c r="N137" s="71"/>
      <c r="O137" s="71"/>
      <c r="P137" s="70"/>
      <c r="Q137" s="70"/>
      <c r="R137" s="70"/>
    </row>
    <row r="138" spans="6:18" ht="15" customHeight="1">
      <c r="F138" s="70"/>
      <c r="G138" s="70"/>
      <c r="H138" s="91"/>
      <c r="I138" s="70"/>
      <c r="J138" s="130"/>
      <c r="K138" s="71"/>
      <c r="L138" s="71"/>
      <c r="M138" s="71"/>
      <c r="N138" s="71"/>
      <c r="O138" s="71"/>
      <c r="P138" s="70"/>
      <c r="Q138" s="70"/>
      <c r="R138" s="70"/>
    </row>
    <row r="139" spans="6:18" ht="15" customHeight="1">
      <c r="F139" s="70"/>
      <c r="G139" s="70"/>
      <c r="H139" s="91"/>
      <c r="I139" s="70"/>
      <c r="J139" s="130"/>
      <c r="K139" s="71"/>
      <c r="L139" s="71"/>
      <c r="M139" s="71"/>
      <c r="N139" s="71"/>
      <c r="O139" s="71"/>
      <c r="P139" s="70"/>
      <c r="Q139" s="70"/>
      <c r="R139" s="70"/>
    </row>
    <row r="140" spans="6:18" ht="15" customHeight="1">
      <c r="F140" s="70"/>
      <c r="G140" s="70"/>
      <c r="H140" s="91"/>
      <c r="I140" s="70"/>
      <c r="J140" s="130"/>
      <c r="K140" s="71"/>
      <c r="L140" s="71"/>
      <c r="M140" s="71"/>
      <c r="N140" s="71"/>
      <c r="O140" s="71"/>
      <c r="P140" s="70"/>
      <c r="Q140" s="70"/>
      <c r="R140" s="70"/>
    </row>
    <row r="141" spans="6:18" ht="15" customHeight="1">
      <c r="F141" s="70"/>
      <c r="G141" s="70"/>
      <c r="H141" s="91"/>
      <c r="I141" s="70"/>
      <c r="J141" s="130"/>
      <c r="K141" s="71"/>
      <c r="L141" s="71"/>
      <c r="M141" s="71"/>
      <c r="N141" s="71"/>
      <c r="O141" s="71"/>
      <c r="P141" s="70"/>
      <c r="Q141" s="70"/>
      <c r="R141" s="70"/>
    </row>
    <row r="142" spans="6:18" ht="15" customHeight="1">
      <c r="F142" s="70"/>
      <c r="G142" s="70"/>
      <c r="H142" s="91"/>
      <c r="I142" s="70"/>
      <c r="J142" s="130"/>
      <c r="K142" s="71"/>
      <c r="L142" s="71"/>
      <c r="M142" s="71"/>
      <c r="N142" s="71"/>
      <c r="O142" s="71"/>
      <c r="P142" s="70"/>
      <c r="Q142" s="70"/>
      <c r="R142" s="70"/>
    </row>
    <row r="143" spans="6:18" ht="15" customHeight="1">
      <c r="F143" s="70"/>
      <c r="G143" s="70"/>
      <c r="H143" s="91"/>
      <c r="I143" s="70"/>
      <c r="J143" s="130"/>
      <c r="K143" s="71"/>
      <c r="L143" s="71"/>
      <c r="M143" s="71"/>
      <c r="N143" s="71"/>
      <c r="O143" s="71"/>
      <c r="P143" s="70"/>
      <c r="Q143" s="70"/>
      <c r="R143" s="70"/>
    </row>
    <row r="144" spans="6:18" ht="15" customHeight="1">
      <c r="F144" s="70"/>
      <c r="G144" s="70"/>
      <c r="H144" s="91"/>
      <c r="I144" s="70"/>
      <c r="J144" s="130"/>
      <c r="K144" s="71"/>
      <c r="L144" s="71"/>
      <c r="M144" s="71"/>
      <c r="N144" s="71"/>
      <c r="O144" s="71"/>
      <c r="P144" s="70"/>
      <c r="Q144" s="70"/>
      <c r="R144" s="70"/>
    </row>
    <row r="145" spans="6:18" ht="15" customHeight="1">
      <c r="F145" s="70"/>
      <c r="G145" s="70"/>
      <c r="H145" s="91"/>
      <c r="I145" s="70"/>
      <c r="J145" s="130"/>
      <c r="K145" s="71"/>
      <c r="L145" s="71"/>
      <c r="M145" s="71"/>
      <c r="N145" s="71"/>
      <c r="O145" s="71"/>
      <c r="P145" s="70"/>
      <c r="Q145" s="70"/>
      <c r="R145" s="70"/>
    </row>
    <row r="146" spans="6:18" ht="15" customHeight="1">
      <c r="F146" s="70"/>
      <c r="G146" s="70"/>
      <c r="H146" s="91"/>
      <c r="I146" s="70"/>
      <c r="J146" s="130"/>
      <c r="K146" s="71"/>
      <c r="L146" s="71"/>
      <c r="M146" s="71"/>
      <c r="N146" s="71"/>
      <c r="O146" s="71"/>
      <c r="P146" s="70"/>
      <c r="Q146" s="70"/>
      <c r="R146" s="70"/>
    </row>
    <row r="147" spans="6:18" ht="15" customHeight="1">
      <c r="F147" s="70"/>
      <c r="G147" s="70"/>
      <c r="H147" s="91"/>
      <c r="I147" s="70"/>
      <c r="J147" s="130"/>
      <c r="K147" s="71"/>
      <c r="L147" s="71"/>
      <c r="M147" s="71"/>
      <c r="N147" s="71"/>
      <c r="O147" s="71"/>
      <c r="P147" s="70"/>
      <c r="Q147" s="70"/>
      <c r="R147" s="70"/>
    </row>
    <row r="148" spans="6:18" ht="15" customHeight="1">
      <c r="F148" s="70"/>
      <c r="G148" s="70"/>
      <c r="H148" s="91"/>
      <c r="I148" s="70"/>
      <c r="J148" s="130"/>
      <c r="K148" s="71"/>
      <c r="L148" s="71"/>
      <c r="M148" s="71"/>
      <c r="N148" s="71"/>
      <c r="O148" s="71"/>
      <c r="P148" s="70"/>
      <c r="Q148" s="70"/>
      <c r="R148" s="70"/>
    </row>
    <row r="149" spans="6:18" ht="15" customHeight="1">
      <c r="F149" s="70"/>
      <c r="G149" s="70"/>
      <c r="H149" s="91"/>
      <c r="I149" s="70"/>
      <c r="J149" s="130"/>
      <c r="K149" s="71"/>
      <c r="L149" s="71"/>
      <c r="M149" s="71"/>
      <c r="N149" s="71"/>
      <c r="O149" s="71"/>
      <c r="P149" s="70"/>
      <c r="Q149" s="70"/>
      <c r="R149" s="70"/>
    </row>
    <row r="150" spans="6:18" ht="15" customHeight="1">
      <c r="F150" s="70"/>
      <c r="G150" s="70"/>
      <c r="H150" s="91"/>
      <c r="I150" s="70"/>
      <c r="J150" s="130"/>
      <c r="K150" s="71"/>
      <c r="L150" s="71"/>
      <c r="M150" s="71"/>
      <c r="N150" s="71"/>
      <c r="O150" s="71"/>
      <c r="P150" s="70"/>
      <c r="Q150" s="70"/>
      <c r="R150" s="70"/>
    </row>
    <row r="151" spans="6:18" ht="15" customHeight="1">
      <c r="F151" s="70"/>
      <c r="G151" s="70"/>
      <c r="H151" s="91"/>
      <c r="I151" s="70"/>
      <c r="J151" s="130"/>
      <c r="K151" s="71"/>
      <c r="L151" s="71"/>
      <c r="M151" s="71"/>
      <c r="N151" s="71"/>
      <c r="O151" s="71"/>
      <c r="P151" s="70"/>
      <c r="Q151" s="70"/>
      <c r="R151" s="70"/>
    </row>
    <row r="152" spans="6:18" ht="15" customHeight="1">
      <c r="F152" s="70"/>
      <c r="G152" s="70"/>
      <c r="H152" s="91"/>
      <c r="I152" s="70"/>
      <c r="J152" s="130"/>
      <c r="K152" s="71"/>
      <c r="L152" s="71"/>
      <c r="M152" s="71"/>
      <c r="N152" s="71"/>
      <c r="O152" s="71"/>
      <c r="P152" s="70"/>
      <c r="Q152" s="70"/>
      <c r="R152" s="70"/>
    </row>
    <row r="153" spans="6:18" ht="15" customHeight="1">
      <c r="F153" s="70"/>
      <c r="G153" s="70"/>
      <c r="H153" s="91"/>
      <c r="I153" s="70"/>
      <c r="J153" s="130"/>
      <c r="K153" s="71"/>
      <c r="L153" s="71"/>
      <c r="M153" s="71"/>
      <c r="N153" s="71"/>
      <c r="O153" s="71"/>
      <c r="P153" s="70"/>
      <c r="Q153" s="70"/>
      <c r="R153" s="70"/>
    </row>
    <row r="154" spans="6:18" ht="15" customHeight="1">
      <c r="F154" s="70"/>
      <c r="G154" s="70"/>
      <c r="H154" s="91"/>
      <c r="I154" s="70"/>
      <c r="J154" s="130"/>
      <c r="K154" s="71"/>
      <c r="L154" s="71"/>
      <c r="M154" s="71"/>
      <c r="N154" s="71"/>
      <c r="O154" s="71"/>
      <c r="P154" s="70"/>
      <c r="Q154" s="70"/>
      <c r="R154" s="70"/>
    </row>
    <row r="155" spans="6:18" ht="15" customHeight="1">
      <c r="F155" s="70"/>
      <c r="G155" s="70"/>
      <c r="H155" s="91"/>
      <c r="I155" s="70"/>
      <c r="J155" s="130"/>
      <c r="K155" s="71"/>
      <c r="L155" s="71"/>
      <c r="M155" s="71"/>
      <c r="N155" s="71"/>
      <c r="O155" s="71"/>
      <c r="P155" s="70"/>
      <c r="Q155" s="70"/>
      <c r="R155" s="70"/>
    </row>
    <row r="156" spans="6:18" ht="15" customHeight="1">
      <c r="F156" s="70"/>
      <c r="G156" s="70"/>
      <c r="H156" s="91"/>
      <c r="I156" s="70"/>
      <c r="J156" s="130"/>
      <c r="K156" s="71"/>
      <c r="L156" s="71"/>
      <c r="M156" s="71"/>
      <c r="N156" s="71"/>
      <c r="O156" s="71"/>
      <c r="P156" s="70"/>
      <c r="Q156" s="70"/>
      <c r="R156" s="70"/>
    </row>
    <row r="157" spans="6:18" ht="15" customHeight="1">
      <c r="F157" s="70"/>
      <c r="G157" s="70"/>
      <c r="H157" s="91"/>
      <c r="I157" s="70"/>
      <c r="J157" s="130"/>
      <c r="K157" s="71"/>
      <c r="L157" s="71"/>
      <c r="M157" s="71"/>
      <c r="N157" s="71"/>
      <c r="O157" s="71"/>
      <c r="P157" s="70"/>
      <c r="Q157" s="70"/>
      <c r="R157" s="70"/>
    </row>
    <row r="158" spans="6:18" ht="15" customHeight="1">
      <c r="F158" s="70"/>
      <c r="G158" s="70"/>
      <c r="H158" s="91"/>
      <c r="I158" s="70"/>
      <c r="J158" s="130"/>
      <c r="K158" s="71"/>
      <c r="L158" s="71"/>
      <c r="M158" s="71"/>
      <c r="N158" s="71"/>
      <c r="O158" s="71"/>
      <c r="P158" s="70"/>
      <c r="Q158" s="70"/>
      <c r="R158" s="70"/>
    </row>
    <row r="159" spans="6:18" ht="15" customHeight="1">
      <c r="F159" s="70"/>
      <c r="G159" s="70"/>
      <c r="H159" s="91"/>
      <c r="I159" s="70"/>
      <c r="J159" s="130"/>
      <c r="K159" s="71"/>
      <c r="L159" s="71"/>
      <c r="M159" s="71"/>
      <c r="N159" s="71"/>
      <c r="O159" s="71"/>
      <c r="P159" s="70"/>
      <c r="Q159" s="70"/>
      <c r="R159" s="70"/>
    </row>
    <row r="160" spans="6:18" ht="15" customHeight="1">
      <c r="G160" s="70"/>
      <c r="H160" s="91"/>
      <c r="I160" s="70"/>
      <c r="J160" s="130"/>
      <c r="K160" s="71"/>
      <c r="L160" s="71"/>
      <c r="M160" s="71"/>
      <c r="N160" s="71"/>
      <c r="O160" s="71"/>
      <c r="P160" s="70"/>
      <c r="Q160" s="70"/>
      <c r="R160" s="70"/>
    </row>
    <row r="161" spans="7:18" ht="15" customHeight="1">
      <c r="G161" s="70"/>
      <c r="H161" s="91"/>
      <c r="I161" s="70"/>
      <c r="J161" s="130"/>
      <c r="K161" s="71"/>
      <c r="L161" s="71"/>
      <c r="M161" s="71"/>
      <c r="N161" s="71"/>
      <c r="O161" s="71"/>
      <c r="P161" s="70"/>
      <c r="Q161" s="70"/>
      <c r="R161" s="70"/>
    </row>
    <row r="162" spans="7:18" ht="15" customHeight="1">
      <c r="G162" s="70"/>
      <c r="H162" s="91"/>
      <c r="I162" s="70"/>
      <c r="J162" s="130"/>
      <c r="K162" s="71"/>
      <c r="L162" s="71"/>
      <c r="M162" s="71"/>
      <c r="N162" s="71"/>
      <c r="O162" s="71"/>
      <c r="P162" s="70"/>
      <c r="Q162" s="70"/>
      <c r="R162" s="70"/>
    </row>
    <row r="163" spans="7:18" ht="15" customHeight="1">
      <c r="G163" s="70"/>
      <c r="H163" s="91"/>
      <c r="I163" s="70"/>
      <c r="J163" s="130"/>
      <c r="K163" s="71"/>
      <c r="L163" s="71"/>
      <c r="M163" s="71"/>
      <c r="N163" s="71"/>
      <c r="O163" s="71"/>
      <c r="P163" s="70"/>
      <c r="Q163" s="70"/>
      <c r="R163" s="70"/>
    </row>
  </sheetData>
  <mergeCells count="2">
    <mergeCell ref="A2:F2"/>
    <mergeCell ref="A1:F1"/>
  </mergeCells>
  <phoneticPr fontId="6" type="noConversion"/>
  <pageMargins left="0.74803149606299213" right="0.74803149606299213" top="0.98425196850393704" bottom="0.98425196850393704" header="0.51181102362204722" footer="0.51181102362204722"/>
  <pageSetup paperSize="9" scale="61" orientation="portrait" r:id="rId1"/>
  <headerFooter alignWithMargins="0">
    <oddFooter>&amp;L&amp;F&amp;C&amp;D&amp;R&amp;A</oddFooter>
  </headerFooter>
  <tableParts count="4">
    <tablePart r:id="rId2"/>
    <tablePart r:id="rId3"/>
    <tablePart r:id="rId4"/>
    <tablePart r:id="rId5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3">
    <tabColor theme="0" tint="-0.14999847407452621"/>
  </sheetPr>
  <dimension ref="A1:HL921"/>
  <sheetViews>
    <sheetView view="pageBreakPreview" zoomScale="90" zoomScaleNormal="40" zoomScaleSheetLayoutView="90" workbookViewId="0">
      <pane ySplit="4" topLeftCell="A5" activePane="bottomLeft" state="frozen"/>
      <selection pane="bottomLeft" sqref="A1:Q1"/>
    </sheetView>
  </sheetViews>
  <sheetFormatPr defaultColWidth="10.28515625" defaultRowHeight="15" customHeight="1"/>
  <cols>
    <col min="1" max="1" width="10.5703125" style="4" bestFit="1" customWidth="1"/>
    <col min="2" max="2" width="23.28515625" style="4" bestFit="1" customWidth="1"/>
    <col min="3" max="3" width="22.7109375" style="4" bestFit="1" customWidth="1"/>
    <col min="4" max="4" width="10.5703125" style="4" customWidth="1"/>
    <col min="5" max="5" width="11.7109375" style="4" bestFit="1" customWidth="1"/>
    <col min="6" max="6" width="20.5703125" style="4" bestFit="1" customWidth="1"/>
    <col min="7" max="7" width="13.85546875" style="21" bestFit="1" customWidth="1"/>
    <col min="8" max="8" width="14.28515625" style="21" bestFit="1" customWidth="1"/>
    <col min="9" max="9" width="25" style="80" customWidth="1"/>
    <col min="10" max="10" width="10" style="21" customWidth="1"/>
    <col min="11" max="11" width="26.42578125" style="21" bestFit="1" customWidth="1"/>
    <col min="12" max="12" width="10" style="21" customWidth="1"/>
    <col min="13" max="13" width="19.140625" style="111" customWidth="1"/>
    <col min="14" max="14" width="10.42578125" style="111" customWidth="1"/>
    <col min="15" max="15" width="13.85546875" style="112" customWidth="1"/>
    <col min="16" max="16" width="18.7109375" style="165" bestFit="1" customWidth="1"/>
    <col min="17" max="17" width="18.7109375" style="165" customWidth="1"/>
    <col min="18" max="18" width="11" style="4" customWidth="1"/>
    <col min="19" max="19" width="14" style="17" customWidth="1"/>
    <col min="20" max="20" width="16.42578125" style="17" hidden="1" customWidth="1"/>
    <col min="21" max="21" width="16.42578125" style="114" hidden="1" customWidth="1"/>
    <col min="22" max="22" width="18" style="115" hidden="1" customWidth="1"/>
    <col min="23" max="23" width="16.42578125" style="224" hidden="1" customWidth="1"/>
    <col min="24" max="24" width="16.42578125" style="227" hidden="1" customWidth="1"/>
    <col min="25" max="25" width="16.42578125" style="114" hidden="1" customWidth="1"/>
    <col min="26" max="26" width="16.42578125" style="115" hidden="1" customWidth="1"/>
    <col min="27" max="27" width="16.42578125" style="113" hidden="1" customWidth="1"/>
    <col min="28" max="29" width="16.42578125" style="4" hidden="1" customWidth="1"/>
    <col min="30" max="30" width="16.42578125" style="116" hidden="1" customWidth="1"/>
    <col min="31" max="31" width="16.42578125" style="116" customWidth="1"/>
    <col min="32" max="32" width="16.42578125" style="28" customWidth="1"/>
    <col min="33" max="33" width="16.42578125" style="85" customWidth="1"/>
    <col min="34" max="219" width="10.28515625" style="85"/>
    <col min="220" max="16384" width="10.28515625" style="4"/>
  </cols>
  <sheetData>
    <row r="1" spans="1:220" ht="15" customHeight="1">
      <c r="A1" s="337" t="s">
        <v>168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08"/>
      <c r="S1" s="308"/>
      <c r="T1" s="308"/>
      <c r="U1" s="308"/>
      <c r="V1" s="308"/>
      <c r="W1" s="308"/>
      <c r="X1" s="308"/>
      <c r="Y1" s="308"/>
      <c r="Z1" s="308"/>
      <c r="AA1" s="308"/>
      <c r="AB1" s="308"/>
      <c r="AC1" s="308"/>
      <c r="AD1" s="308"/>
      <c r="AE1" s="308"/>
      <c r="AF1" s="308"/>
      <c r="AG1" s="308"/>
    </row>
    <row r="2" spans="1:220" ht="15" customHeight="1">
      <c r="A2" s="85"/>
      <c r="B2" s="85"/>
      <c r="C2" s="85"/>
      <c r="D2" s="85"/>
      <c r="E2" s="85"/>
      <c r="F2" s="85"/>
      <c r="G2" s="95"/>
      <c r="H2" s="95"/>
      <c r="I2" s="127"/>
      <c r="J2" s="95"/>
      <c r="K2" s="95"/>
      <c r="L2" s="95"/>
      <c r="M2" s="108"/>
      <c r="N2" s="108"/>
      <c r="O2" s="109"/>
      <c r="P2" s="163"/>
      <c r="Q2" s="163"/>
      <c r="R2" s="85"/>
      <c r="S2" s="85"/>
      <c r="T2" s="85"/>
      <c r="U2" s="85"/>
      <c r="V2" s="85"/>
      <c r="W2" s="223"/>
      <c r="X2" s="225"/>
      <c r="Y2" s="85"/>
      <c r="Z2" s="85"/>
      <c r="AA2" s="85"/>
      <c r="AB2" s="85"/>
      <c r="AC2" s="85"/>
      <c r="AD2" s="85"/>
      <c r="AE2" s="85"/>
      <c r="AF2" s="85"/>
    </row>
    <row r="3" spans="1:220" s="85" customFormat="1" ht="15" customHeight="1">
      <c r="G3" s="95"/>
      <c r="H3" s="95"/>
      <c r="I3" s="127"/>
      <c r="J3" s="95"/>
      <c r="K3" s="95"/>
      <c r="L3" s="95"/>
      <c r="M3" s="108"/>
      <c r="N3" s="108"/>
      <c r="O3" s="109"/>
      <c r="P3" s="163"/>
      <c r="Q3" s="163"/>
      <c r="S3" s="338" t="s">
        <v>245</v>
      </c>
      <c r="T3" s="339"/>
      <c r="U3" s="339"/>
      <c r="V3" s="339"/>
      <c r="W3" s="339"/>
      <c r="X3" s="340"/>
      <c r="Y3" s="341" t="s">
        <v>246</v>
      </c>
      <c r="Z3" s="342"/>
      <c r="AA3" s="342"/>
      <c r="AB3" s="342"/>
      <c r="AC3" s="342"/>
      <c r="AD3" s="343"/>
      <c r="AE3" s="344" t="s">
        <v>247</v>
      </c>
      <c r="AF3" s="345"/>
      <c r="AG3" s="346"/>
    </row>
    <row r="4" spans="1:220" s="8" customFormat="1" ht="46.5" customHeight="1">
      <c r="A4" s="125" t="s">
        <v>34</v>
      </c>
      <c r="B4" s="33" t="s">
        <v>142</v>
      </c>
      <c r="C4" s="33" t="s">
        <v>65</v>
      </c>
      <c r="D4" s="33" t="s">
        <v>64</v>
      </c>
      <c r="E4" s="33" t="s">
        <v>30</v>
      </c>
      <c r="F4" s="33" t="s">
        <v>31</v>
      </c>
      <c r="G4" s="33" t="s">
        <v>118</v>
      </c>
      <c r="H4" s="33" t="s">
        <v>392</v>
      </c>
      <c r="I4" s="81" t="s">
        <v>103</v>
      </c>
      <c r="J4" s="33" t="s">
        <v>23</v>
      </c>
      <c r="K4" s="33" t="s">
        <v>1380</v>
      </c>
      <c r="L4" s="33" t="s">
        <v>119</v>
      </c>
      <c r="M4" s="33" t="s">
        <v>39</v>
      </c>
      <c r="N4" s="33" t="s">
        <v>32</v>
      </c>
      <c r="O4" s="33" t="s">
        <v>130</v>
      </c>
      <c r="P4" s="164" t="s">
        <v>66</v>
      </c>
      <c r="Q4" s="164" t="s">
        <v>254</v>
      </c>
      <c r="R4" s="33" t="s">
        <v>121</v>
      </c>
      <c r="S4" s="33" t="s">
        <v>1382</v>
      </c>
      <c r="T4" s="33" t="s">
        <v>134</v>
      </c>
      <c r="U4" s="33" t="s">
        <v>135</v>
      </c>
      <c r="V4" s="33" t="s">
        <v>136</v>
      </c>
      <c r="W4" s="86" t="s">
        <v>132</v>
      </c>
      <c r="X4" s="226" t="s">
        <v>133</v>
      </c>
      <c r="Y4" s="33" t="s">
        <v>120</v>
      </c>
      <c r="Z4" s="33" t="s">
        <v>141</v>
      </c>
      <c r="AA4" s="33" t="s">
        <v>137</v>
      </c>
      <c r="AB4" s="33" t="s">
        <v>138</v>
      </c>
      <c r="AC4" s="33" t="s">
        <v>139</v>
      </c>
      <c r="AD4" s="33" t="s">
        <v>140</v>
      </c>
      <c r="AE4" s="86" t="s">
        <v>124</v>
      </c>
      <c r="AF4" s="86" t="s">
        <v>37</v>
      </c>
      <c r="AG4" s="87" t="s">
        <v>36</v>
      </c>
      <c r="AH4" s="88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89"/>
      <c r="CV4" s="89"/>
      <c r="CW4" s="89"/>
      <c r="CX4" s="89"/>
      <c r="CY4" s="89"/>
      <c r="CZ4" s="89"/>
      <c r="DA4" s="89"/>
      <c r="DB4" s="89"/>
      <c r="DC4" s="89"/>
      <c r="DD4" s="89"/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89"/>
      <c r="DP4" s="89"/>
      <c r="DQ4" s="89"/>
      <c r="DR4" s="89"/>
      <c r="DS4" s="89"/>
      <c r="DT4" s="89"/>
      <c r="DU4" s="89"/>
      <c r="DV4" s="89"/>
      <c r="DW4" s="89"/>
      <c r="DX4" s="89"/>
      <c r="DY4" s="89"/>
      <c r="DZ4" s="89"/>
      <c r="EA4" s="89"/>
      <c r="EB4" s="89"/>
      <c r="EC4" s="89"/>
      <c r="ED4" s="89"/>
      <c r="EE4" s="89"/>
      <c r="EF4" s="89"/>
      <c r="EG4" s="89"/>
      <c r="EH4" s="89"/>
      <c r="EI4" s="89"/>
      <c r="EJ4" s="89"/>
      <c r="EK4" s="89"/>
      <c r="EL4" s="89"/>
      <c r="EM4" s="89"/>
      <c r="EN4" s="89"/>
      <c r="EO4" s="89"/>
      <c r="EP4" s="89"/>
      <c r="EQ4" s="89"/>
      <c r="ER4" s="89"/>
      <c r="ES4" s="89"/>
      <c r="ET4" s="89"/>
      <c r="EU4" s="89"/>
      <c r="EV4" s="89"/>
      <c r="EW4" s="89"/>
      <c r="EX4" s="89"/>
      <c r="EY4" s="89"/>
      <c r="EZ4" s="89"/>
      <c r="FA4" s="89"/>
      <c r="FB4" s="89"/>
      <c r="FC4" s="89"/>
      <c r="FD4" s="89"/>
      <c r="FE4" s="89"/>
      <c r="FF4" s="89"/>
      <c r="FG4" s="89"/>
      <c r="FH4" s="89"/>
      <c r="FI4" s="89"/>
      <c r="FJ4" s="89"/>
      <c r="FK4" s="89"/>
      <c r="FL4" s="89"/>
      <c r="FM4" s="89"/>
      <c r="FN4" s="89"/>
      <c r="FO4" s="89"/>
      <c r="FP4" s="89"/>
      <c r="FQ4" s="89"/>
      <c r="FR4" s="89"/>
      <c r="FS4" s="89"/>
      <c r="FT4" s="89"/>
      <c r="FU4" s="89"/>
      <c r="FV4" s="89"/>
      <c r="FW4" s="89"/>
      <c r="FX4" s="89"/>
      <c r="FY4" s="89"/>
      <c r="FZ4" s="89"/>
      <c r="GA4" s="89"/>
      <c r="GB4" s="89"/>
      <c r="GC4" s="89"/>
      <c r="GD4" s="89"/>
      <c r="GE4" s="89"/>
      <c r="GF4" s="89"/>
      <c r="GG4" s="89"/>
      <c r="GH4" s="89"/>
      <c r="GI4" s="89"/>
      <c r="GJ4" s="89"/>
      <c r="GK4" s="89"/>
      <c r="GL4" s="89"/>
      <c r="GM4" s="89"/>
      <c r="GN4" s="89"/>
      <c r="GO4" s="89"/>
      <c r="GP4" s="89"/>
      <c r="GQ4" s="89"/>
      <c r="GR4" s="89"/>
      <c r="GS4" s="89"/>
      <c r="GT4" s="89"/>
      <c r="GU4" s="89"/>
      <c r="GV4" s="89"/>
      <c r="GW4" s="89"/>
      <c r="GX4" s="89"/>
      <c r="GY4" s="89"/>
      <c r="GZ4" s="89"/>
      <c r="HA4" s="89"/>
      <c r="HB4" s="89"/>
      <c r="HC4" s="89"/>
      <c r="HD4" s="89"/>
      <c r="HE4" s="89"/>
      <c r="HF4" s="89"/>
      <c r="HG4" s="89"/>
      <c r="HH4" s="89"/>
      <c r="HI4" s="89"/>
      <c r="HJ4" s="89"/>
      <c r="HK4" s="89"/>
      <c r="HL4" s="89"/>
    </row>
    <row r="5" spans="1:220" s="8" customFormat="1" ht="15" customHeight="1">
      <c r="A5" s="187">
        <v>1</v>
      </c>
      <c r="B5" s="21" t="str">
        <f>VLOOKUP(Ruimtestaat[[#This Row],[Code]],Locaties[#All],2,FALSE)</f>
        <v>Praktijkonderwijs</v>
      </c>
      <c r="C5" s="231" t="str">
        <f>VLOOKUP(Ruimtestaat[[#This Row],[Code]],Locaties[#All],4,FALSE)</f>
        <v>Leliestraat 1</v>
      </c>
      <c r="D5" s="231" t="str">
        <f>VLOOKUP(Ruimtestaat[[#This Row],[Code]],Locaties[#All],5,FALSE)</f>
        <v>7572 VD</v>
      </c>
      <c r="E5" s="187" t="str">
        <f>VLOOKUP(Ruimtestaat[[#This Row],[Code]],Locaties[#All],6,FALSE)</f>
        <v>Oldenzaal</v>
      </c>
      <c r="F5" s="232"/>
      <c r="G5" s="187" t="s">
        <v>679</v>
      </c>
      <c r="H5" s="187">
        <v>1</v>
      </c>
      <c r="I5" s="232" t="s">
        <v>40</v>
      </c>
      <c r="J5" s="187">
        <v>7</v>
      </c>
      <c r="K5" s="187" t="str">
        <f>VLOOKUP(Ruimtestaat[[#This Row],[Ruimte code]],Ruimtegroepen[#All],2,FALSE)</f>
        <v>Entree / buitenentree</v>
      </c>
      <c r="L5" s="231" t="s">
        <v>1204</v>
      </c>
      <c r="M5" s="187" t="s">
        <v>1205</v>
      </c>
      <c r="N5" s="200">
        <v>14.4</v>
      </c>
      <c r="O5" s="200"/>
      <c r="P5" s="231" t="str">
        <f>VLOOKUP(Ruimtestaat[[#This Row],[Ruimte code]],Ruimtegroepen[#All],4,FALSE)</f>
        <v>V  (Verkeersruimte)</v>
      </c>
      <c r="Q5" s="201"/>
      <c r="R5" s="202">
        <v>42</v>
      </c>
      <c r="S5" s="202" t="s">
        <v>2</v>
      </c>
      <c r="T5" s="202">
        <f>IF(R5&gt;0,IF(RIGHT(Ruimtestaat[[#This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" s="202">
        <f>IF(T5&gt;0,VLOOKUP($J5,Ruimtegroepen[],3,FALSE)*VLOOKUP($L5,Vloersoorten[],3,FALSE)*VLOOKUP($S5,Frequenties[],3,FALSE)*VLOOKUP($A5,Locaties[],3,FALSE),0)</f>
        <v>0</v>
      </c>
      <c r="V5" s="202">
        <f>Ruimtestaat[[#This Row],[Uitvoeringen werkdagen]]*Ruimtestaat[[#This Row],[Oppervlak (netto)]]</f>
        <v>3024</v>
      </c>
      <c r="W5" s="242">
        <f>IF(U5&gt;0,Ruimtestaat[[#This Row],[Prest. (m2 /jaar) werkdagen]]/Ruimtestaat[[#This Row],[Norm (m2/uur) werkdagen]],0)</f>
        <v>0</v>
      </c>
      <c r="X5" s="243">
        <f>Ruimtestaat[[#This Row],[uren / jaar werkdagen]]*Tariefsopbouw!$D$38</f>
        <v>0</v>
      </c>
      <c r="Y5" s="33"/>
      <c r="Z5" s="33">
        <f>IF(Ruimtestaat[[#This Row],[Frequentie weekend]]&gt;0,VALUE(LEFT(Y5,1))*R5,0)</f>
        <v>0</v>
      </c>
      <c r="AA5" s="33">
        <f>IF($Z5&gt;0,VLOOKUP($J5,Ruimtegroepen[],3,FALSE)*VLOOKUP($L5,Vloersoorten[],3,FALSE)*VLOOKUP($Y5,Frequenties[],3,FALSE)*VLOOKUP(#REF!,Locaties[],3,FALSE),0)</f>
        <v>0</v>
      </c>
      <c r="AB5" s="33"/>
      <c r="AC5" s="33"/>
      <c r="AD5" s="33">
        <f>Ruimtestaat[[#This Row],[uren / jaar weekend]]*Tariefsopbouw!$D$40</f>
        <v>0</v>
      </c>
      <c r="AE5" s="86">
        <f>Ruimtestaat[[#This Row],[Prest. (m2 /jaar) weekend]]+Ruimtestaat[[#This Row],[Prest. (m2 /jaar) werkdagen]]</f>
        <v>3024</v>
      </c>
      <c r="AF5" s="86">
        <f>Ruimtestaat[[#This Row],[uren / jaar weekend]]+Ruimtestaat[[#This Row],[uren / jaar werkdagen]]</f>
        <v>0</v>
      </c>
      <c r="AG5" s="87">
        <f>Ruimtestaat[[#This Row],[kosten / jaar weekend]]+Ruimtestaat[[#This Row],[kosten / jaar werkdagen]]</f>
        <v>0</v>
      </c>
      <c r="AH5" s="88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9"/>
      <c r="DE5" s="89"/>
      <c r="DF5" s="89"/>
      <c r="DG5" s="89"/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89"/>
      <c r="DT5" s="89"/>
      <c r="DU5" s="89"/>
      <c r="DV5" s="89"/>
      <c r="DW5" s="89"/>
      <c r="DX5" s="89"/>
      <c r="DY5" s="89"/>
      <c r="DZ5" s="89"/>
      <c r="EA5" s="89"/>
      <c r="EB5" s="89"/>
      <c r="EC5" s="89"/>
      <c r="ED5" s="89"/>
      <c r="EE5" s="89"/>
      <c r="EF5" s="89"/>
      <c r="EG5" s="89"/>
      <c r="EH5" s="89"/>
      <c r="EI5" s="89"/>
      <c r="EJ5" s="89"/>
      <c r="EK5" s="89"/>
      <c r="EL5" s="89"/>
      <c r="EM5" s="89"/>
      <c r="EN5" s="89"/>
      <c r="EO5" s="89"/>
      <c r="EP5" s="89"/>
      <c r="EQ5" s="89"/>
      <c r="ER5" s="89"/>
      <c r="ES5" s="89"/>
      <c r="ET5" s="89"/>
      <c r="EU5" s="89"/>
      <c r="EV5" s="89"/>
      <c r="EW5" s="89"/>
      <c r="EX5" s="89"/>
      <c r="EY5" s="89"/>
      <c r="EZ5" s="89"/>
      <c r="FA5" s="89"/>
      <c r="FB5" s="89"/>
      <c r="FC5" s="89"/>
      <c r="FD5" s="89"/>
      <c r="FE5" s="89"/>
      <c r="FF5" s="89"/>
      <c r="FG5" s="89"/>
      <c r="FH5" s="89"/>
      <c r="FI5" s="89"/>
      <c r="FJ5" s="89"/>
      <c r="FK5" s="89"/>
      <c r="FL5" s="89"/>
      <c r="FM5" s="89"/>
      <c r="FN5" s="89"/>
      <c r="FO5" s="89"/>
      <c r="FP5" s="89"/>
      <c r="FQ5" s="89"/>
      <c r="FR5" s="89"/>
      <c r="FS5" s="89"/>
      <c r="FT5" s="89"/>
      <c r="FU5" s="89"/>
      <c r="FV5" s="89"/>
      <c r="FW5" s="89"/>
      <c r="FX5" s="89"/>
      <c r="FY5" s="89"/>
      <c r="FZ5" s="89"/>
      <c r="GA5" s="89"/>
      <c r="GB5" s="89"/>
      <c r="GC5" s="89"/>
      <c r="GD5" s="89"/>
      <c r="GE5" s="89"/>
      <c r="GF5" s="89"/>
      <c r="GG5" s="89"/>
      <c r="GH5" s="89"/>
      <c r="GI5" s="89"/>
      <c r="GJ5" s="89"/>
      <c r="GK5" s="89"/>
      <c r="GL5" s="89"/>
      <c r="GM5" s="89"/>
      <c r="GN5" s="89"/>
      <c r="GO5" s="89"/>
      <c r="GP5" s="89"/>
      <c r="GQ5" s="89"/>
      <c r="GR5" s="89"/>
      <c r="GS5" s="89"/>
      <c r="GT5" s="89"/>
      <c r="GU5" s="89"/>
      <c r="GV5" s="89"/>
      <c r="GW5" s="89"/>
      <c r="GX5" s="89"/>
      <c r="GY5" s="89"/>
      <c r="GZ5" s="89"/>
      <c r="HA5" s="89"/>
      <c r="HB5" s="89"/>
      <c r="HC5" s="89"/>
      <c r="HD5" s="89"/>
      <c r="HE5" s="89"/>
      <c r="HF5" s="89"/>
      <c r="HG5" s="89"/>
      <c r="HH5" s="89"/>
      <c r="HI5" s="89"/>
      <c r="HJ5" s="89"/>
      <c r="HK5" s="89"/>
      <c r="HL5" s="89"/>
    </row>
    <row r="6" spans="1:220" s="8" customFormat="1" ht="15" customHeight="1">
      <c r="A6" s="187">
        <v>1</v>
      </c>
      <c r="B6" s="21" t="str">
        <f>VLOOKUP(Ruimtestaat[[#This Row],[Code]],Locaties[#All],2,FALSE)</f>
        <v>Praktijkonderwijs</v>
      </c>
      <c r="C6" s="231" t="str">
        <f>VLOOKUP(Ruimtestaat[[#This Row],[Code]],Locaties[#All],4,FALSE)</f>
        <v>Leliestraat 1</v>
      </c>
      <c r="D6" s="231" t="str">
        <f>VLOOKUP(Ruimtestaat[[#This Row],[Code]],Locaties[#All],5,FALSE)</f>
        <v>7572 VD</v>
      </c>
      <c r="E6" s="187" t="str">
        <f>VLOOKUP(Ruimtestaat[[#This Row],[Code]],Locaties[#All],6,FALSE)</f>
        <v>Oldenzaal</v>
      </c>
      <c r="F6" s="232"/>
      <c r="G6" s="187" t="s">
        <v>679</v>
      </c>
      <c r="H6" s="187">
        <v>2</v>
      </c>
      <c r="I6" s="232" t="s">
        <v>424</v>
      </c>
      <c r="J6" s="187">
        <v>2</v>
      </c>
      <c r="K6" s="187" t="str">
        <f>VLOOKUP(Ruimtestaat[[#This Row],[Ruimte code]],Ruimtegroepen[#All],2,FALSE)</f>
        <v>Kantoren/kantoortuin</v>
      </c>
      <c r="L6" s="231" t="s">
        <v>677</v>
      </c>
      <c r="M6" s="187" t="s">
        <v>1200</v>
      </c>
      <c r="N6" s="200">
        <v>13.4</v>
      </c>
      <c r="O6" s="200"/>
      <c r="P6" s="231" t="str">
        <f>VLOOKUP(Ruimtestaat[[#This Row],[Ruimte code]],Ruimtegroepen[#All],4,FALSE)</f>
        <v>B  (Bureauruimte)</v>
      </c>
      <c r="Q6" s="201"/>
      <c r="R6" s="202">
        <v>42</v>
      </c>
      <c r="S6" s="202" t="s">
        <v>2</v>
      </c>
      <c r="T6" s="202">
        <f>IF(R6&gt;0,IF(RIGHT(Ruimtestaat[[#This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" s="202">
        <f>IF(T6&gt;0,VLOOKUP($J6,Ruimtegroepen[],3,FALSE)*VLOOKUP($L6,Vloersoorten[],3,FALSE)*VLOOKUP($S6,Frequenties[],3,FALSE)*VLOOKUP($A6,Locaties[],3,FALSE),0)</f>
        <v>0</v>
      </c>
      <c r="V6" s="202">
        <f>Ruimtestaat[[#This Row],[Uitvoeringen werkdagen]]*Ruimtestaat[[#This Row],[Oppervlak (netto)]]</f>
        <v>2814</v>
      </c>
      <c r="W6" s="242">
        <f>IF(U6&gt;0,Ruimtestaat[[#This Row],[Prest. (m2 /jaar) werkdagen]]/Ruimtestaat[[#This Row],[Norm (m2/uur) werkdagen]],0)</f>
        <v>0</v>
      </c>
      <c r="X6" s="243">
        <f>Ruimtestaat[[#This Row],[uren / jaar werkdagen]]*Tariefsopbouw!$D$38</f>
        <v>0</v>
      </c>
      <c r="Y6" s="33"/>
      <c r="Z6" s="33">
        <f>IF(Ruimtestaat[[#This Row],[Frequentie weekend]]&gt;0,VALUE(LEFT(Y6,1))*R6,0)</f>
        <v>0</v>
      </c>
      <c r="AA6" s="33">
        <f>IF($Z6&gt;0,VLOOKUP($J6,Ruimtegroepen[],3,FALSE)*VLOOKUP($L6,Vloersoorten[],3,FALSE)*VLOOKUP($Y6,Frequenties[],3,FALSE)*VLOOKUP(#REF!,Locaties[],3,FALSE),0)</f>
        <v>0</v>
      </c>
      <c r="AB6" s="33"/>
      <c r="AC6" s="33"/>
      <c r="AD6" s="33">
        <f>Ruimtestaat[[#This Row],[uren / jaar weekend]]*Tariefsopbouw!$D$40</f>
        <v>0</v>
      </c>
      <c r="AE6" s="86">
        <f>Ruimtestaat[[#This Row],[Prest. (m2 /jaar) weekend]]+Ruimtestaat[[#This Row],[Prest. (m2 /jaar) werkdagen]]</f>
        <v>2814</v>
      </c>
      <c r="AF6" s="86">
        <f>Ruimtestaat[[#This Row],[uren / jaar weekend]]+Ruimtestaat[[#This Row],[uren / jaar werkdagen]]</f>
        <v>0</v>
      </c>
      <c r="AG6" s="87">
        <f>Ruimtestaat[[#This Row],[kosten / jaar weekend]]+Ruimtestaat[[#This Row],[kosten / jaar werkdagen]]</f>
        <v>0</v>
      </c>
      <c r="AH6" s="88" t="s">
        <v>3</v>
      </c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  <c r="FF6" s="89"/>
      <c r="FG6" s="89"/>
      <c r="FH6" s="89"/>
      <c r="FI6" s="89"/>
      <c r="FJ6" s="89"/>
      <c r="FK6" s="89"/>
      <c r="FL6" s="89"/>
      <c r="FM6" s="89"/>
      <c r="FN6" s="89"/>
      <c r="FO6" s="89"/>
      <c r="FP6" s="89"/>
      <c r="FQ6" s="89"/>
      <c r="FR6" s="89"/>
      <c r="FS6" s="89"/>
      <c r="FT6" s="89"/>
      <c r="FU6" s="89"/>
      <c r="FV6" s="89"/>
      <c r="FW6" s="89"/>
      <c r="FX6" s="89"/>
      <c r="FY6" s="89"/>
      <c r="FZ6" s="89"/>
      <c r="GA6" s="89"/>
      <c r="GB6" s="89"/>
      <c r="GC6" s="89"/>
      <c r="GD6" s="89"/>
      <c r="GE6" s="89"/>
      <c r="GF6" s="89"/>
      <c r="GG6" s="89"/>
      <c r="GH6" s="89"/>
      <c r="GI6" s="89"/>
      <c r="GJ6" s="89"/>
      <c r="GK6" s="89"/>
      <c r="GL6" s="89"/>
      <c r="GM6" s="89"/>
      <c r="GN6" s="89"/>
      <c r="GO6" s="89"/>
      <c r="GP6" s="89"/>
      <c r="GQ6" s="89"/>
      <c r="GR6" s="89"/>
      <c r="GS6" s="89"/>
      <c r="GT6" s="89"/>
      <c r="GU6" s="89"/>
      <c r="GV6" s="89"/>
      <c r="GW6" s="89"/>
      <c r="GX6" s="89"/>
      <c r="GY6" s="89"/>
      <c r="GZ6" s="89"/>
      <c r="HA6" s="89"/>
      <c r="HB6" s="89"/>
      <c r="HC6" s="89"/>
      <c r="HD6" s="89"/>
      <c r="HE6" s="89"/>
      <c r="HF6" s="89"/>
      <c r="HG6" s="89"/>
      <c r="HH6" s="89"/>
      <c r="HI6" s="89"/>
      <c r="HJ6" s="89"/>
      <c r="HK6" s="89"/>
      <c r="HL6" s="89"/>
    </row>
    <row r="7" spans="1:220" ht="15" customHeight="1">
      <c r="A7" s="187">
        <v>1</v>
      </c>
      <c r="B7" s="21" t="str">
        <f>VLOOKUP(Ruimtestaat[[#This Row],[Code]],Locaties[#All],2,FALSE)</f>
        <v>Praktijkonderwijs</v>
      </c>
      <c r="C7" s="231" t="str">
        <f>VLOOKUP(Ruimtestaat[[#This Row],[Code]],Locaties[#All],4,FALSE)</f>
        <v>Leliestraat 1</v>
      </c>
      <c r="D7" s="231" t="str">
        <f>VLOOKUP(Ruimtestaat[[#This Row],[Code]],Locaties[#All],5,FALSE)</f>
        <v>7572 VD</v>
      </c>
      <c r="E7" s="187" t="str">
        <f>VLOOKUP(Ruimtestaat[[#This Row],[Code]],Locaties[#All],6,FALSE)</f>
        <v>Oldenzaal</v>
      </c>
      <c r="F7" s="232"/>
      <c r="G7" s="187" t="s">
        <v>679</v>
      </c>
      <c r="H7" s="187">
        <v>3</v>
      </c>
      <c r="I7" s="232" t="s">
        <v>422</v>
      </c>
      <c r="J7" s="187">
        <v>12</v>
      </c>
      <c r="K7" s="187" t="str">
        <f>VLOOKUP(Ruimtestaat[[#This Row],[Ruimte code]],Ruimtegroepen[#All],2,FALSE)</f>
        <v>Kantine/aula</v>
      </c>
      <c r="L7" s="231" t="s">
        <v>677</v>
      </c>
      <c r="M7" s="187" t="s">
        <v>1200</v>
      </c>
      <c r="N7" s="200">
        <v>14.9</v>
      </c>
      <c r="O7" s="200"/>
      <c r="P7" s="231" t="str">
        <f>VLOOKUP(Ruimtestaat[[#This Row],[Ruimte code]],Ruimtegroepen[#All],4,FALSE)</f>
        <v>V  (Verkeersruimte)</v>
      </c>
      <c r="Q7" s="201"/>
      <c r="R7" s="202">
        <v>42</v>
      </c>
      <c r="S7" s="202" t="s">
        <v>2</v>
      </c>
      <c r="T7" s="202">
        <f>IF(R7&gt;0,IF(RIGHT(Ruimtestaat[[#This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" s="202">
        <f>IF(T7&gt;0,VLOOKUP($J7,Ruimtegroepen[],3,FALSE)*VLOOKUP($L7,Vloersoorten[],3,FALSE)*VLOOKUP($S7,Frequenties[],3,FALSE)*VLOOKUP($A7,Locaties[],3,FALSE),0)</f>
        <v>0</v>
      </c>
      <c r="V7" s="202">
        <f>Ruimtestaat[[#This Row],[Uitvoeringen werkdagen]]*Ruimtestaat[[#This Row],[Oppervlak (netto)]]</f>
        <v>3129</v>
      </c>
      <c r="W7" s="242">
        <f>IF(U7&gt;0,Ruimtestaat[[#This Row],[Prest. (m2 /jaar) werkdagen]]/Ruimtestaat[[#This Row],[Norm (m2/uur) werkdagen]],0)</f>
        <v>0</v>
      </c>
      <c r="X7" s="243">
        <f>Ruimtestaat[[#This Row],[uren / jaar werkdagen]]*Tariefsopbouw!$D$38</f>
        <v>0</v>
      </c>
      <c r="Y7" s="33"/>
      <c r="Z7" s="33">
        <f>IF(Ruimtestaat[[#This Row],[Frequentie weekend]]&gt;0,VALUE(LEFT(Y7,1))*R7,0)</f>
        <v>0</v>
      </c>
      <c r="AA7" s="33">
        <f>IF($Z7&gt;0,VLOOKUP($J7,Ruimtegroepen[],3,FALSE)*VLOOKUP($L7,Vloersoorten[],3,FALSE)*VLOOKUP($Y7,Frequenties[],3,FALSE)*VLOOKUP(#REF!,Locaties[],3,FALSE),0)</f>
        <v>0</v>
      </c>
      <c r="AB7" s="33"/>
      <c r="AC7" s="33"/>
      <c r="AD7" s="33">
        <f>Ruimtestaat[[#This Row],[uren / jaar weekend]]*Tariefsopbouw!$D$40</f>
        <v>0</v>
      </c>
      <c r="AE7" s="86">
        <f>Ruimtestaat[[#This Row],[Prest. (m2 /jaar) weekend]]+Ruimtestaat[[#This Row],[Prest. (m2 /jaar) werkdagen]]</f>
        <v>3129</v>
      </c>
      <c r="AF7" s="86">
        <f>Ruimtestaat[[#This Row],[uren / jaar weekend]]+Ruimtestaat[[#This Row],[uren / jaar werkdagen]]</f>
        <v>0</v>
      </c>
      <c r="AG7" s="87">
        <f>Ruimtestaat[[#This Row],[kosten / jaar weekend]]+Ruimtestaat[[#This Row],[kosten / jaar werkdagen]]</f>
        <v>0</v>
      </c>
      <c r="AH7" s="110"/>
      <c r="HL7" s="85"/>
    </row>
    <row r="8" spans="1:220" ht="15" customHeight="1">
      <c r="A8" s="187">
        <v>1</v>
      </c>
      <c r="B8" s="21" t="str">
        <f>VLOOKUP(Ruimtestaat[[#This Row],[Code]],Locaties[#All],2,FALSE)</f>
        <v>Praktijkonderwijs</v>
      </c>
      <c r="C8" s="231" t="str">
        <f>VLOOKUP(Ruimtestaat[[#This Row],[Code]],Locaties[#All],4,FALSE)</f>
        <v>Leliestraat 1</v>
      </c>
      <c r="D8" s="231" t="str">
        <f>VLOOKUP(Ruimtestaat[[#This Row],[Code]],Locaties[#All],5,FALSE)</f>
        <v>7572 VD</v>
      </c>
      <c r="E8" s="187" t="str">
        <f>VLOOKUP(Ruimtestaat[[#This Row],[Code]],Locaties[#All],6,FALSE)</f>
        <v>Oldenzaal</v>
      </c>
      <c r="F8" s="232"/>
      <c r="G8" s="187" t="s">
        <v>679</v>
      </c>
      <c r="H8" s="202" t="s">
        <v>1222</v>
      </c>
      <c r="I8" s="232" t="s">
        <v>701</v>
      </c>
      <c r="J8" s="245">
        <v>20</v>
      </c>
      <c r="K8" s="245" t="str">
        <f>VLOOKUP(Ruimtestaat[[#This Row],[Ruimte code]],Ruimtegroepen[#All],2,FALSE)</f>
        <v>Niet in onderhoud</v>
      </c>
      <c r="L8" s="202" t="s">
        <v>108</v>
      </c>
      <c r="M8" s="187" t="s">
        <v>1207</v>
      </c>
      <c r="N8" s="200"/>
      <c r="O8" s="200">
        <v>15</v>
      </c>
      <c r="P8" s="231" t="str">
        <f>VLOOKUP(Ruimtestaat[[#This Row],[Ruimte code]],Ruimtegroepen[#All],4,FALSE)</f>
        <v>V  (Verkeersruimte)</v>
      </c>
      <c r="Q8" s="201"/>
      <c r="R8" s="202"/>
      <c r="S8" s="202"/>
      <c r="T8" s="202">
        <f>IF(R8&gt;0,IF(RIGHT(Ruimtestaat[[#This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8" s="202">
        <f>IF(T8&gt;0,VLOOKUP($J8,Ruimtegroepen[],3,FALSE)*VLOOKUP($L8,Vloersoorten[],3,FALSE)*VLOOKUP($S8,Frequenties[],3,FALSE)*VLOOKUP($A8,Locaties[],3,FALSE),0)</f>
        <v>0</v>
      </c>
      <c r="V8" s="202">
        <f>Ruimtestaat[[#This Row],[Uitvoeringen werkdagen]]*Ruimtestaat[[#This Row],[Oppervlak (netto)]]</f>
        <v>0</v>
      </c>
      <c r="W8" s="242">
        <f>IF(U8&gt;0,Ruimtestaat[[#This Row],[Prest. (m2 /jaar) werkdagen]]/Ruimtestaat[[#This Row],[Norm (m2/uur) werkdagen]],0)</f>
        <v>0</v>
      </c>
      <c r="X8" s="243">
        <f>Ruimtestaat[[#This Row],[uren / jaar werkdagen]]*Tariefsopbouw!$D$38</f>
        <v>0</v>
      </c>
      <c r="Y8" s="33"/>
      <c r="Z8" s="33">
        <f>IF(Ruimtestaat[[#This Row],[Frequentie weekend]]&gt;0,VALUE(LEFT(Y8,1))*R8,0)</f>
        <v>0</v>
      </c>
      <c r="AA8" s="33">
        <f>IF($Z8&gt;0,VLOOKUP($J8,Ruimtegroepen[],3,FALSE)*VLOOKUP($L8,Vloersoorten[],3,FALSE)*VLOOKUP($Y8,Frequenties[],3,FALSE)*VLOOKUP(#REF!,Locaties[],3,FALSE),0)</f>
        <v>0</v>
      </c>
      <c r="AB8" s="33"/>
      <c r="AC8" s="33"/>
      <c r="AD8" s="33">
        <f>Ruimtestaat[[#This Row],[uren / jaar weekend]]*Tariefsopbouw!$D$40</f>
        <v>0</v>
      </c>
      <c r="AE8" s="86">
        <f>Ruimtestaat[[#This Row],[Prest. (m2 /jaar) weekend]]+Ruimtestaat[[#This Row],[Prest. (m2 /jaar) werkdagen]]</f>
        <v>0</v>
      </c>
      <c r="AF8" s="86">
        <f>Ruimtestaat[[#This Row],[uren / jaar weekend]]+Ruimtestaat[[#This Row],[uren / jaar werkdagen]]</f>
        <v>0</v>
      </c>
      <c r="AG8" s="87">
        <f>Ruimtestaat[[#This Row],[kosten / jaar weekend]]+Ruimtestaat[[#This Row],[kosten / jaar werkdagen]]</f>
        <v>0</v>
      </c>
      <c r="AH8" s="110"/>
      <c r="HL8" s="85"/>
    </row>
    <row r="9" spans="1:220" ht="15" customHeight="1">
      <c r="A9" s="187">
        <v>1</v>
      </c>
      <c r="B9" s="21" t="str">
        <f>VLOOKUP(Ruimtestaat[[#This Row],[Code]],Locaties[#All],2,FALSE)</f>
        <v>Praktijkonderwijs</v>
      </c>
      <c r="C9" s="231" t="str">
        <f>VLOOKUP(Ruimtestaat[[#This Row],[Code]],Locaties[#All],4,FALSE)</f>
        <v>Leliestraat 1</v>
      </c>
      <c r="D9" s="231" t="str">
        <f>VLOOKUP(Ruimtestaat[[#This Row],[Code]],Locaties[#All],5,FALSE)</f>
        <v>7572 VD</v>
      </c>
      <c r="E9" s="187" t="str">
        <f>VLOOKUP(Ruimtestaat[[#This Row],[Code]],Locaties[#All],6,FALSE)</f>
        <v>Oldenzaal</v>
      </c>
      <c r="F9" s="232"/>
      <c r="G9" s="187" t="s">
        <v>679</v>
      </c>
      <c r="H9" s="187">
        <v>4.0999999999999996</v>
      </c>
      <c r="I9" s="232" t="s">
        <v>702</v>
      </c>
      <c r="J9" s="187">
        <v>20</v>
      </c>
      <c r="K9" s="187" t="str">
        <f>VLOOKUP(Ruimtestaat[[#This Row],[Ruimte code]],Ruimtegroepen[#All],2,FALSE)</f>
        <v>Niet in onderhoud</v>
      </c>
      <c r="L9" s="231" t="s">
        <v>677</v>
      </c>
      <c r="M9" s="187" t="s">
        <v>1200</v>
      </c>
      <c r="N9" s="200"/>
      <c r="O9" s="200">
        <v>13</v>
      </c>
      <c r="P9" s="231" t="str">
        <f>VLOOKUP(Ruimtestaat[[#This Row],[Ruimte code]],Ruimtegroepen[#All],4,FALSE)</f>
        <v>V  (Verkeersruimte)</v>
      </c>
      <c r="Q9" s="201"/>
      <c r="R9" s="202"/>
      <c r="S9" s="202"/>
      <c r="T9" s="202">
        <f>IF(R9&gt;0,IF(RIGHT(Ruimtestaat[[#This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9" s="202">
        <f>IF(T9&gt;0,VLOOKUP($J9,Ruimtegroepen[],3,FALSE)*VLOOKUP($L9,Vloersoorten[],3,FALSE)*VLOOKUP($S9,Frequenties[],3,FALSE)*VLOOKUP($A9,Locaties[],3,FALSE),0)</f>
        <v>0</v>
      </c>
      <c r="V9" s="202">
        <f>Ruimtestaat[[#This Row],[Uitvoeringen werkdagen]]*Ruimtestaat[[#This Row],[Oppervlak (netto)]]</f>
        <v>0</v>
      </c>
      <c r="W9" s="242">
        <f>IF(U9&gt;0,Ruimtestaat[[#This Row],[Prest. (m2 /jaar) werkdagen]]/Ruimtestaat[[#This Row],[Norm (m2/uur) werkdagen]],0)</f>
        <v>0</v>
      </c>
      <c r="X9" s="243">
        <f>Ruimtestaat[[#This Row],[uren / jaar werkdagen]]*Tariefsopbouw!$D$38</f>
        <v>0</v>
      </c>
      <c r="Y9" s="33"/>
      <c r="Z9" s="33">
        <f>IF(Ruimtestaat[[#This Row],[Frequentie weekend]]&gt;0,VALUE(LEFT(Y9,1))*R9,0)</f>
        <v>0</v>
      </c>
      <c r="AA9" s="33">
        <f>IF($Z9&gt;0,VLOOKUP($J9,Ruimtegroepen[],3,FALSE)*VLOOKUP($L9,Vloersoorten[],3,FALSE)*VLOOKUP($Y9,Frequenties[],3,FALSE)*VLOOKUP(#REF!,Locaties[],3,FALSE),0)</f>
        <v>0</v>
      </c>
      <c r="AB9" s="33"/>
      <c r="AC9" s="33"/>
      <c r="AD9" s="33">
        <f>Ruimtestaat[[#This Row],[uren / jaar weekend]]*Tariefsopbouw!$D$40</f>
        <v>0</v>
      </c>
      <c r="AE9" s="86">
        <f>Ruimtestaat[[#This Row],[Prest. (m2 /jaar) weekend]]+Ruimtestaat[[#This Row],[Prest. (m2 /jaar) werkdagen]]</f>
        <v>0</v>
      </c>
      <c r="AF9" s="86">
        <f>Ruimtestaat[[#This Row],[uren / jaar weekend]]+Ruimtestaat[[#This Row],[uren / jaar werkdagen]]</f>
        <v>0</v>
      </c>
      <c r="AG9" s="87">
        <f>Ruimtestaat[[#This Row],[kosten / jaar weekend]]+Ruimtestaat[[#This Row],[kosten / jaar werkdagen]]</f>
        <v>0</v>
      </c>
      <c r="AH9" s="110"/>
      <c r="HL9" s="85"/>
    </row>
    <row r="10" spans="1:220" ht="15" customHeight="1">
      <c r="A10" s="187">
        <v>1</v>
      </c>
      <c r="B10" s="21" t="str">
        <f>VLOOKUP(Ruimtestaat[[#This Row],[Code]],Locaties[#All],2,FALSE)</f>
        <v>Praktijkonderwijs</v>
      </c>
      <c r="C10" s="231" t="str">
        <f>VLOOKUP(Ruimtestaat[[#This Row],[Code]],Locaties[#All],4,FALSE)</f>
        <v>Leliestraat 1</v>
      </c>
      <c r="D10" s="231" t="str">
        <f>VLOOKUP(Ruimtestaat[[#This Row],[Code]],Locaties[#All],5,FALSE)</f>
        <v>7572 VD</v>
      </c>
      <c r="E10" s="187" t="str">
        <f>VLOOKUP(Ruimtestaat[[#This Row],[Code]],Locaties[#All],6,FALSE)</f>
        <v>Oldenzaal</v>
      </c>
      <c r="F10" s="232"/>
      <c r="G10" s="187" t="s">
        <v>679</v>
      </c>
      <c r="H10" s="187">
        <v>4.1100000000000003</v>
      </c>
      <c r="I10" s="232" t="s">
        <v>703</v>
      </c>
      <c r="J10" s="187">
        <v>20</v>
      </c>
      <c r="K10" s="187" t="str">
        <f>VLOOKUP(Ruimtestaat[[#This Row],[Ruimte code]],Ruimtegroepen[#All],2,FALSE)</f>
        <v>Niet in onderhoud</v>
      </c>
      <c r="L10" s="202" t="s">
        <v>108</v>
      </c>
      <c r="M10" s="187" t="s">
        <v>1207</v>
      </c>
      <c r="N10" s="200"/>
      <c r="O10" s="200">
        <v>12</v>
      </c>
      <c r="P10" s="231" t="str">
        <f>VLOOKUP(Ruimtestaat[[#This Row],[Ruimte code]],Ruimtegroepen[#All],4,FALSE)</f>
        <v>V  (Verkeersruimte)</v>
      </c>
      <c r="Q10" s="201"/>
      <c r="R10" s="202"/>
      <c r="S10" s="202"/>
      <c r="T10" s="202">
        <f>IF(R10&gt;0,IF(RIGHT(Ruimtestaat[[#This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10" s="202">
        <f>IF(T10&gt;0,VLOOKUP($J10,Ruimtegroepen[],3,FALSE)*VLOOKUP($L10,Vloersoorten[],3,FALSE)*VLOOKUP($S10,Frequenties[],3,FALSE)*VLOOKUP($A10,Locaties[],3,FALSE),0)</f>
        <v>0</v>
      </c>
      <c r="V10" s="202">
        <f>Ruimtestaat[[#This Row],[Uitvoeringen werkdagen]]*Ruimtestaat[[#This Row],[Oppervlak (netto)]]</f>
        <v>0</v>
      </c>
      <c r="W10" s="242">
        <f>IF(U10&gt;0,Ruimtestaat[[#This Row],[Prest. (m2 /jaar) werkdagen]]/Ruimtestaat[[#This Row],[Norm (m2/uur) werkdagen]],0)</f>
        <v>0</v>
      </c>
      <c r="X10" s="243">
        <f>Ruimtestaat[[#This Row],[uren / jaar werkdagen]]*Tariefsopbouw!$D$38</f>
        <v>0</v>
      </c>
      <c r="Y10" s="33"/>
      <c r="Z10" s="33">
        <f>IF(Ruimtestaat[[#This Row],[Frequentie weekend]]&gt;0,VALUE(LEFT(Y10,1))*R10,0)</f>
        <v>0</v>
      </c>
      <c r="AA10" s="33">
        <f>IF($Z10&gt;0,VLOOKUP($J10,Ruimtegroepen[],3,FALSE)*VLOOKUP($L10,Vloersoorten[],3,FALSE)*VLOOKUP($Y10,Frequenties[],3,FALSE)*VLOOKUP(#REF!,Locaties[],3,FALSE),0)</f>
        <v>0</v>
      </c>
      <c r="AB10" s="33"/>
      <c r="AC10" s="33"/>
      <c r="AD10" s="33">
        <f>Ruimtestaat[[#This Row],[uren / jaar weekend]]*Tariefsopbouw!$D$40</f>
        <v>0</v>
      </c>
      <c r="AE10" s="86">
        <f>Ruimtestaat[[#This Row],[Prest. (m2 /jaar) weekend]]+Ruimtestaat[[#This Row],[Prest. (m2 /jaar) werkdagen]]</f>
        <v>0</v>
      </c>
      <c r="AF10" s="86">
        <f>Ruimtestaat[[#This Row],[uren / jaar weekend]]+Ruimtestaat[[#This Row],[uren / jaar werkdagen]]</f>
        <v>0</v>
      </c>
      <c r="AG10" s="87">
        <f>Ruimtestaat[[#This Row],[kosten / jaar weekend]]+Ruimtestaat[[#This Row],[kosten / jaar werkdagen]]</f>
        <v>0</v>
      </c>
      <c r="AH10" s="110"/>
      <c r="HL10" s="85"/>
    </row>
    <row r="11" spans="1:220" ht="15" customHeight="1">
      <c r="A11" s="187">
        <v>1</v>
      </c>
      <c r="B11" s="21" t="str">
        <f>VLOOKUP(Ruimtestaat[[#This Row],[Code]],Locaties[#All],2,FALSE)</f>
        <v>Praktijkonderwijs</v>
      </c>
      <c r="C11" s="231" t="str">
        <f>VLOOKUP(Ruimtestaat[[#This Row],[Code]],Locaties[#All],4,FALSE)</f>
        <v>Leliestraat 1</v>
      </c>
      <c r="D11" s="231" t="str">
        <f>VLOOKUP(Ruimtestaat[[#This Row],[Code]],Locaties[#All],5,FALSE)</f>
        <v>7572 VD</v>
      </c>
      <c r="E11" s="187" t="str">
        <f>VLOOKUP(Ruimtestaat[[#This Row],[Code]],Locaties[#All],6,FALSE)</f>
        <v>Oldenzaal</v>
      </c>
      <c r="F11" s="232"/>
      <c r="G11" s="187" t="s">
        <v>679</v>
      </c>
      <c r="H11" s="187">
        <v>4.2</v>
      </c>
      <c r="I11" s="232" t="s">
        <v>704</v>
      </c>
      <c r="J11" s="187">
        <v>20</v>
      </c>
      <c r="K11" s="187" t="str">
        <f>VLOOKUP(Ruimtestaat[[#This Row],[Ruimte code]],Ruimtegroepen[#All],2,FALSE)</f>
        <v>Niet in onderhoud</v>
      </c>
      <c r="L11" s="202" t="s">
        <v>108</v>
      </c>
      <c r="M11" s="187" t="s">
        <v>1207</v>
      </c>
      <c r="N11" s="200"/>
      <c r="O11" s="200">
        <v>80</v>
      </c>
      <c r="P11" s="231" t="str">
        <f>VLOOKUP(Ruimtestaat[[#This Row],[Ruimte code]],Ruimtegroepen[#All],4,FALSE)</f>
        <v>V  (Verkeersruimte)</v>
      </c>
      <c r="Q11" s="201"/>
      <c r="R11" s="202"/>
      <c r="S11" s="202"/>
      <c r="T11" s="202">
        <f>IF(R11&gt;0,IF(RIGHT(Ruimtestaat[[#This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11" s="202">
        <f>IF(T11&gt;0,VLOOKUP($J11,Ruimtegroepen[],3,FALSE)*VLOOKUP($L11,Vloersoorten[],3,FALSE)*VLOOKUP($S11,Frequenties[],3,FALSE)*VLOOKUP($A11,Locaties[],3,FALSE),0)</f>
        <v>0</v>
      </c>
      <c r="V11" s="202">
        <f>Ruimtestaat[[#This Row],[Uitvoeringen werkdagen]]*Ruimtestaat[[#This Row],[Oppervlak (netto)]]</f>
        <v>0</v>
      </c>
      <c r="W11" s="242">
        <f>IF(U11&gt;0,Ruimtestaat[[#This Row],[Prest. (m2 /jaar) werkdagen]]/Ruimtestaat[[#This Row],[Norm (m2/uur) werkdagen]],0)</f>
        <v>0</v>
      </c>
      <c r="X11" s="243">
        <f>Ruimtestaat[[#This Row],[uren / jaar werkdagen]]*Tariefsopbouw!$D$38</f>
        <v>0</v>
      </c>
      <c r="Y11" s="33"/>
      <c r="Z11" s="33">
        <f>IF(Ruimtestaat[[#This Row],[Frequentie weekend]]&gt;0,VALUE(LEFT(Y11,1))*R11,0)</f>
        <v>0</v>
      </c>
      <c r="AA11" s="33">
        <f>IF($Z11&gt;0,VLOOKUP($J11,Ruimtegroepen[],3,FALSE)*VLOOKUP($L11,Vloersoorten[],3,FALSE)*VLOOKUP($Y11,Frequenties[],3,FALSE)*VLOOKUP(#REF!,Locaties[],3,FALSE),0)</f>
        <v>0</v>
      </c>
      <c r="AB11" s="33"/>
      <c r="AC11" s="33"/>
      <c r="AD11" s="33">
        <f>Ruimtestaat[[#This Row],[uren / jaar weekend]]*Tariefsopbouw!$D$40</f>
        <v>0</v>
      </c>
      <c r="AE11" s="86">
        <f>Ruimtestaat[[#This Row],[Prest. (m2 /jaar) weekend]]+Ruimtestaat[[#This Row],[Prest. (m2 /jaar) werkdagen]]</f>
        <v>0</v>
      </c>
      <c r="AF11" s="86">
        <f>Ruimtestaat[[#This Row],[uren / jaar weekend]]+Ruimtestaat[[#This Row],[uren / jaar werkdagen]]</f>
        <v>0</v>
      </c>
      <c r="AG11" s="87">
        <f>Ruimtestaat[[#This Row],[kosten / jaar weekend]]+Ruimtestaat[[#This Row],[kosten / jaar werkdagen]]</f>
        <v>0</v>
      </c>
      <c r="AH11" s="110"/>
      <c r="HL11" s="85"/>
    </row>
    <row r="12" spans="1:220" ht="15" customHeight="1">
      <c r="A12" s="187">
        <v>1</v>
      </c>
      <c r="B12" s="21" t="str">
        <f>VLOOKUP(Ruimtestaat[[#This Row],[Code]],Locaties[#All],2,FALSE)</f>
        <v>Praktijkonderwijs</v>
      </c>
      <c r="C12" s="231" t="str">
        <f>VLOOKUP(Ruimtestaat[[#This Row],[Code]],Locaties[#All],4,FALSE)</f>
        <v>Leliestraat 1</v>
      </c>
      <c r="D12" s="231" t="str">
        <f>VLOOKUP(Ruimtestaat[[#This Row],[Code]],Locaties[#All],5,FALSE)</f>
        <v>7572 VD</v>
      </c>
      <c r="E12" s="187" t="str">
        <f>VLOOKUP(Ruimtestaat[[#This Row],[Code]],Locaties[#All],6,FALSE)</f>
        <v>Oldenzaal</v>
      </c>
      <c r="F12" s="232"/>
      <c r="G12" s="187" t="s">
        <v>679</v>
      </c>
      <c r="H12" s="187">
        <v>4.5</v>
      </c>
      <c r="I12" s="232" t="s">
        <v>705</v>
      </c>
      <c r="J12" s="231">
        <v>16</v>
      </c>
      <c r="K12" s="231" t="str">
        <f>VLOOKUP(Ruimtestaat[[#This Row],[Ruimte code]],Ruimtegroepen[#All],2,FALSE)</f>
        <v>Leslokalen/computerlokaal</v>
      </c>
      <c r="L12" s="231" t="s">
        <v>677</v>
      </c>
      <c r="M12" s="187" t="s">
        <v>1200</v>
      </c>
      <c r="N12" s="200">
        <v>32</v>
      </c>
      <c r="O12" s="200"/>
      <c r="P12" s="231" t="str">
        <f>VLOOKUP(Ruimtestaat[[#This Row],[Ruimte code]],Ruimtegroepen[#All],4,FALSE)</f>
        <v>L  (Lesruimte)</v>
      </c>
      <c r="Q12" s="201"/>
      <c r="R12" s="202">
        <v>42</v>
      </c>
      <c r="S12" s="202" t="s">
        <v>2</v>
      </c>
      <c r="T12" s="202">
        <f>IF(R12&gt;0,IF(RIGHT(Ruimtestaat[[#This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2" s="202">
        <f>IF(T12&gt;0,VLOOKUP($J12,Ruimtegroepen[],3,FALSE)*VLOOKUP($L12,Vloersoorten[],3,FALSE)*VLOOKUP($S12,Frequenties[],3,FALSE)*VLOOKUP($A12,Locaties[],3,FALSE),0)</f>
        <v>0</v>
      </c>
      <c r="V12" s="202">
        <f>Ruimtestaat[[#This Row],[Uitvoeringen werkdagen]]*Ruimtestaat[[#This Row],[Oppervlak (netto)]]</f>
        <v>6720</v>
      </c>
      <c r="W12" s="242">
        <f>IF(U12&gt;0,Ruimtestaat[[#This Row],[Prest. (m2 /jaar) werkdagen]]/Ruimtestaat[[#This Row],[Norm (m2/uur) werkdagen]],0)</f>
        <v>0</v>
      </c>
      <c r="X12" s="243">
        <f>Ruimtestaat[[#This Row],[uren / jaar werkdagen]]*Tariefsopbouw!$D$38</f>
        <v>0</v>
      </c>
      <c r="Y12" s="33"/>
      <c r="Z12" s="33">
        <f>IF(Ruimtestaat[[#This Row],[Frequentie weekend]]&gt;0,VALUE(LEFT(Y12,1))*R12,0)</f>
        <v>0</v>
      </c>
      <c r="AA12" s="33">
        <f>IF($Z12&gt;0,VLOOKUP($J12,Ruimtegroepen[],3,FALSE)*VLOOKUP($L12,Vloersoorten[],3,FALSE)*VLOOKUP($Y12,Frequenties[],3,FALSE)*VLOOKUP(#REF!,Locaties[],3,FALSE),0)</f>
        <v>0</v>
      </c>
      <c r="AB12" s="33"/>
      <c r="AC12" s="33"/>
      <c r="AD12" s="33">
        <f>Ruimtestaat[[#This Row],[uren / jaar weekend]]*Tariefsopbouw!$D$40</f>
        <v>0</v>
      </c>
      <c r="AE12" s="86">
        <f>Ruimtestaat[[#This Row],[Prest. (m2 /jaar) weekend]]+Ruimtestaat[[#This Row],[Prest. (m2 /jaar) werkdagen]]</f>
        <v>6720</v>
      </c>
      <c r="AF12" s="86">
        <f>Ruimtestaat[[#This Row],[uren / jaar weekend]]+Ruimtestaat[[#This Row],[uren / jaar werkdagen]]</f>
        <v>0</v>
      </c>
      <c r="AG12" s="87">
        <f>Ruimtestaat[[#This Row],[kosten / jaar weekend]]+Ruimtestaat[[#This Row],[kosten / jaar werkdagen]]</f>
        <v>0</v>
      </c>
      <c r="AH12" s="110"/>
      <c r="HL12" s="85"/>
    </row>
    <row r="13" spans="1:220" ht="15" customHeight="1">
      <c r="A13" s="187">
        <v>1</v>
      </c>
      <c r="B13" s="21" t="str">
        <f>VLOOKUP(Ruimtestaat[[#This Row],[Code]],Locaties[#All],2,FALSE)</f>
        <v>Praktijkonderwijs</v>
      </c>
      <c r="C13" s="231" t="str">
        <f>VLOOKUP(Ruimtestaat[[#This Row],[Code]],Locaties[#All],4,FALSE)</f>
        <v>Leliestraat 1</v>
      </c>
      <c r="D13" s="231" t="str">
        <f>VLOOKUP(Ruimtestaat[[#This Row],[Code]],Locaties[#All],5,FALSE)</f>
        <v>7572 VD</v>
      </c>
      <c r="E13" s="187" t="str">
        <f>VLOOKUP(Ruimtestaat[[#This Row],[Code]],Locaties[#All],6,FALSE)</f>
        <v>Oldenzaal</v>
      </c>
      <c r="F13" s="232"/>
      <c r="G13" s="187" t="s">
        <v>679</v>
      </c>
      <c r="H13" s="187">
        <v>4.5999999999999996</v>
      </c>
      <c r="I13" s="232" t="s">
        <v>437</v>
      </c>
      <c r="J13" s="231">
        <v>19</v>
      </c>
      <c r="K13" s="231" t="str">
        <f>VLOOKUP(Ruimtestaat[[#This Row],[Ruimte code]],Ruimtegroepen[#All],2,FALSE)</f>
        <v>Kleedruimtes</v>
      </c>
      <c r="L13" s="231" t="s">
        <v>677</v>
      </c>
      <c r="M13" s="187" t="s">
        <v>1200</v>
      </c>
      <c r="N13" s="200">
        <v>13.5</v>
      </c>
      <c r="O13" s="200"/>
      <c r="P13" s="231" t="str">
        <f>VLOOKUP(Ruimtestaat[[#This Row],[Ruimte code]],Ruimtegroepen[#All],4,FALSE)</f>
        <v>V  (Verkeersruimte)</v>
      </c>
      <c r="Q13" s="201"/>
      <c r="R13" s="202">
        <v>42</v>
      </c>
      <c r="S13" s="202" t="s">
        <v>2</v>
      </c>
      <c r="T13" s="202">
        <f>IF(R13&gt;0,IF(RIGHT(Ruimtestaat[[#This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3" s="202">
        <f>IF(T13&gt;0,VLOOKUP($J13,Ruimtegroepen[],3,FALSE)*VLOOKUP($L13,Vloersoorten[],3,FALSE)*VLOOKUP($S13,Frequenties[],3,FALSE)*VLOOKUP($A13,Locaties[],3,FALSE),0)</f>
        <v>0</v>
      </c>
      <c r="V13" s="202">
        <f>Ruimtestaat[[#This Row],[Uitvoeringen werkdagen]]*Ruimtestaat[[#This Row],[Oppervlak (netto)]]</f>
        <v>2835</v>
      </c>
      <c r="W13" s="242">
        <f>IF(U13&gt;0,Ruimtestaat[[#This Row],[Prest. (m2 /jaar) werkdagen]]/Ruimtestaat[[#This Row],[Norm (m2/uur) werkdagen]],0)</f>
        <v>0</v>
      </c>
      <c r="X13" s="243">
        <f>Ruimtestaat[[#This Row],[uren / jaar werkdagen]]*Tariefsopbouw!$D$38</f>
        <v>0</v>
      </c>
      <c r="Y13" s="33"/>
      <c r="Z13" s="33">
        <f>IF(Ruimtestaat[[#This Row],[Frequentie weekend]]&gt;0,VALUE(LEFT(Y13,1))*R13,0)</f>
        <v>0</v>
      </c>
      <c r="AA13" s="33">
        <f>IF($Z13&gt;0,VLOOKUP($J13,Ruimtegroepen[],3,FALSE)*VLOOKUP($L13,Vloersoorten[],3,FALSE)*VLOOKUP($Y13,Frequenties[],3,FALSE)*VLOOKUP(#REF!,Locaties[],3,FALSE),0)</f>
        <v>0</v>
      </c>
      <c r="AB13" s="33"/>
      <c r="AC13" s="33"/>
      <c r="AD13" s="33">
        <f>Ruimtestaat[[#This Row],[uren / jaar weekend]]*Tariefsopbouw!$D$40</f>
        <v>0</v>
      </c>
      <c r="AE13" s="86">
        <f>Ruimtestaat[[#This Row],[Prest. (m2 /jaar) weekend]]+Ruimtestaat[[#This Row],[Prest. (m2 /jaar) werkdagen]]</f>
        <v>2835</v>
      </c>
      <c r="AF13" s="86">
        <f>Ruimtestaat[[#This Row],[uren / jaar weekend]]+Ruimtestaat[[#This Row],[uren / jaar werkdagen]]</f>
        <v>0</v>
      </c>
      <c r="AG13" s="87">
        <f>Ruimtestaat[[#This Row],[kosten / jaar weekend]]+Ruimtestaat[[#This Row],[kosten / jaar werkdagen]]</f>
        <v>0</v>
      </c>
      <c r="AH13" s="110"/>
      <c r="HL13" s="85"/>
    </row>
    <row r="14" spans="1:220" ht="15" customHeight="1">
      <c r="A14" s="187">
        <v>1</v>
      </c>
      <c r="B14" s="21" t="str">
        <f>VLOOKUP(Ruimtestaat[[#This Row],[Code]],Locaties[#All],2,FALSE)</f>
        <v>Praktijkonderwijs</v>
      </c>
      <c r="C14" s="231" t="str">
        <f>VLOOKUP(Ruimtestaat[[#This Row],[Code]],Locaties[#All],4,FALSE)</f>
        <v>Leliestraat 1</v>
      </c>
      <c r="D14" s="231" t="str">
        <f>VLOOKUP(Ruimtestaat[[#This Row],[Code]],Locaties[#All],5,FALSE)</f>
        <v>7572 VD</v>
      </c>
      <c r="E14" s="187" t="str">
        <f>VLOOKUP(Ruimtestaat[[#This Row],[Code]],Locaties[#All],6,FALSE)</f>
        <v>Oldenzaal</v>
      </c>
      <c r="F14" s="232"/>
      <c r="G14" s="187" t="s">
        <v>679</v>
      </c>
      <c r="H14" s="187">
        <v>4.7</v>
      </c>
      <c r="I14" s="232" t="s">
        <v>706</v>
      </c>
      <c r="J14" s="187">
        <v>20</v>
      </c>
      <c r="K14" s="187" t="str">
        <f>VLOOKUP(Ruimtestaat[[#This Row],[Ruimte code]],Ruimtegroepen[#All],2,FALSE)</f>
        <v>Niet in onderhoud</v>
      </c>
      <c r="L14" s="202" t="s">
        <v>108</v>
      </c>
      <c r="M14" s="187" t="s">
        <v>1207</v>
      </c>
      <c r="N14" s="200"/>
      <c r="O14" s="200">
        <v>80</v>
      </c>
      <c r="P14" s="231" t="str">
        <f>VLOOKUP(Ruimtestaat[[#This Row],[Ruimte code]],Ruimtegroepen[#All],4,FALSE)</f>
        <v>V  (Verkeersruimte)</v>
      </c>
      <c r="Q14" s="201"/>
      <c r="R14" s="202"/>
      <c r="S14" s="202"/>
      <c r="T14" s="202">
        <f>IF(R14&gt;0,IF(RIGHT(Ruimtestaat[[#This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14" s="202">
        <f>IF(T14&gt;0,VLOOKUP($J14,Ruimtegroepen[],3,FALSE)*VLOOKUP($L14,Vloersoorten[],3,FALSE)*VLOOKUP($S14,Frequenties[],3,FALSE)*VLOOKUP($A14,Locaties[],3,FALSE),0)</f>
        <v>0</v>
      </c>
      <c r="V14" s="202">
        <f>Ruimtestaat[[#This Row],[Uitvoeringen werkdagen]]*Ruimtestaat[[#This Row],[Oppervlak (netto)]]</f>
        <v>0</v>
      </c>
      <c r="W14" s="242">
        <f>IF(U14&gt;0,Ruimtestaat[[#This Row],[Prest. (m2 /jaar) werkdagen]]/Ruimtestaat[[#This Row],[Norm (m2/uur) werkdagen]],0)</f>
        <v>0</v>
      </c>
      <c r="X14" s="243">
        <f>Ruimtestaat[[#This Row],[uren / jaar werkdagen]]*Tariefsopbouw!$D$38</f>
        <v>0</v>
      </c>
      <c r="Y14" s="33"/>
      <c r="Z14" s="33">
        <f>IF(Ruimtestaat[[#This Row],[Frequentie weekend]]&gt;0,VALUE(LEFT(Y14,1))*R14,0)</f>
        <v>0</v>
      </c>
      <c r="AA14" s="33">
        <f>IF($Z14&gt;0,VLOOKUP($J14,Ruimtegroepen[],3,FALSE)*VLOOKUP($L14,Vloersoorten[],3,FALSE)*VLOOKUP($Y14,Frequenties[],3,FALSE)*VLOOKUP(#REF!,Locaties[],3,FALSE),0)</f>
        <v>0</v>
      </c>
      <c r="AB14" s="33"/>
      <c r="AC14" s="33"/>
      <c r="AD14" s="33">
        <f>Ruimtestaat[[#This Row],[uren / jaar weekend]]*Tariefsopbouw!$D$40</f>
        <v>0</v>
      </c>
      <c r="AE14" s="86">
        <f>Ruimtestaat[[#This Row],[Prest. (m2 /jaar) weekend]]+Ruimtestaat[[#This Row],[Prest. (m2 /jaar) werkdagen]]</f>
        <v>0</v>
      </c>
      <c r="AF14" s="86">
        <f>Ruimtestaat[[#This Row],[uren / jaar weekend]]+Ruimtestaat[[#This Row],[uren / jaar werkdagen]]</f>
        <v>0</v>
      </c>
      <c r="AG14" s="87">
        <f>Ruimtestaat[[#This Row],[kosten / jaar weekend]]+Ruimtestaat[[#This Row],[kosten / jaar werkdagen]]</f>
        <v>0</v>
      </c>
      <c r="AH14" s="110"/>
      <c r="HL14" s="85"/>
    </row>
    <row r="15" spans="1:220" ht="15" customHeight="1">
      <c r="A15" s="187">
        <v>1</v>
      </c>
      <c r="B15" s="21" t="str">
        <f>VLOOKUP(Ruimtestaat[[#This Row],[Code]],Locaties[#All],2,FALSE)</f>
        <v>Praktijkonderwijs</v>
      </c>
      <c r="C15" s="231" t="str">
        <f>VLOOKUP(Ruimtestaat[[#This Row],[Code]],Locaties[#All],4,FALSE)</f>
        <v>Leliestraat 1</v>
      </c>
      <c r="D15" s="231" t="str">
        <f>VLOOKUP(Ruimtestaat[[#This Row],[Code]],Locaties[#All],5,FALSE)</f>
        <v>7572 VD</v>
      </c>
      <c r="E15" s="187" t="str">
        <f>VLOOKUP(Ruimtestaat[[#This Row],[Code]],Locaties[#All],6,FALSE)</f>
        <v>Oldenzaal</v>
      </c>
      <c r="F15" s="232"/>
      <c r="G15" s="187" t="s">
        <v>679</v>
      </c>
      <c r="H15" s="187">
        <v>5.4</v>
      </c>
      <c r="I15" s="232" t="s">
        <v>707</v>
      </c>
      <c r="J15" s="187">
        <v>14</v>
      </c>
      <c r="K15" s="187" t="str">
        <f>VLOOKUP(Ruimtestaat[[#This Row],[Ruimte code]],Ruimtegroepen[#All],2,FALSE)</f>
        <v>Praktijklokalen/kabinet</v>
      </c>
      <c r="L15" s="231" t="s">
        <v>677</v>
      </c>
      <c r="M15" s="187" t="s">
        <v>1200</v>
      </c>
      <c r="N15" s="200">
        <v>7.3</v>
      </c>
      <c r="O15" s="200"/>
      <c r="P15" s="231" t="str">
        <f>VLOOKUP(Ruimtestaat[[#This Row],[Ruimte code]],Ruimtegroepen[#All],4,FALSE)</f>
        <v>L  (Lesruimte)</v>
      </c>
      <c r="Q15" s="201"/>
      <c r="R15" s="202">
        <v>42</v>
      </c>
      <c r="S15" s="202" t="s">
        <v>15</v>
      </c>
      <c r="T15" s="202">
        <f>IF(R15&gt;0,IF(RIGHT(Ruimtestaat[[#This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15" s="202">
        <f>IF(T15&gt;0,VLOOKUP($J15,Ruimtegroepen[],3,FALSE)*VLOOKUP($L15,Vloersoorten[],3,FALSE)*VLOOKUP($S15,Frequenties[],3,FALSE)*VLOOKUP($A15,Locaties[],3,FALSE),0)</f>
        <v>0</v>
      </c>
      <c r="V15" s="202">
        <f>Ruimtestaat[[#This Row],[Uitvoeringen werkdagen]]*Ruimtestaat[[#This Row],[Oppervlak (netto)]]</f>
        <v>306.59999999999997</v>
      </c>
      <c r="W15" s="242">
        <f>IF(U15&gt;0,Ruimtestaat[[#This Row],[Prest. (m2 /jaar) werkdagen]]/Ruimtestaat[[#This Row],[Norm (m2/uur) werkdagen]],0)</f>
        <v>0</v>
      </c>
      <c r="X15" s="243">
        <f>Ruimtestaat[[#This Row],[uren / jaar werkdagen]]*Tariefsopbouw!$D$38</f>
        <v>0</v>
      </c>
      <c r="Y15" s="33"/>
      <c r="Z15" s="33">
        <f>IF(Ruimtestaat[[#This Row],[Frequentie weekend]]&gt;0,VALUE(LEFT(Y15,1))*R15,0)</f>
        <v>0</v>
      </c>
      <c r="AA15" s="33">
        <f>IF($Z15&gt;0,VLOOKUP($J15,Ruimtegroepen[],3,FALSE)*VLOOKUP($L15,Vloersoorten[],3,FALSE)*VLOOKUP($Y15,Frequenties[],3,FALSE)*VLOOKUP(#REF!,Locaties[],3,FALSE),0)</f>
        <v>0</v>
      </c>
      <c r="AB15" s="33"/>
      <c r="AC15" s="33"/>
      <c r="AD15" s="33">
        <f>Ruimtestaat[[#This Row],[uren / jaar weekend]]*Tariefsopbouw!$D$40</f>
        <v>0</v>
      </c>
      <c r="AE15" s="86">
        <f>Ruimtestaat[[#This Row],[Prest. (m2 /jaar) weekend]]+Ruimtestaat[[#This Row],[Prest. (m2 /jaar) werkdagen]]</f>
        <v>306.59999999999997</v>
      </c>
      <c r="AF15" s="86">
        <f>Ruimtestaat[[#This Row],[uren / jaar weekend]]+Ruimtestaat[[#This Row],[uren / jaar werkdagen]]</f>
        <v>0</v>
      </c>
      <c r="AG15" s="87">
        <f>Ruimtestaat[[#This Row],[kosten / jaar weekend]]+Ruimtestaat[[#This Row],[kosten / jaar werkdagen]]</f>
        <v>0</v>
      </c>
      <c r="AH15" s="110"/>
      <c r="HL15" s="85"/>
    </row>
    <row r="16" spans="1:220" ht="15" customHeight="1">
      <c r="A16" s="187">
        <v>1</v>
      </c>
      <c r="B16" s="21" t="str">
        <f>VLOOKUP(Ruimtestaat[[#This Row],[Code]],Locaties[#All],2,FALSE)</f>
        <v>Praktijkonderwijs</v>
      </c>
      <c r="C16" s="231" t="str">
        <f>VLOOKUP(Ruimtestaat[[#This Row],[Code]],Locaties[#All],4,FALSE)</f>
        <v>Leliestraat 1</v>
      </c>
      <c r="D16" s="231" t="str">
        <f>VLOOKUP(Ruimtestaat[[#This Row],[Code]],Locaties[#All],5,FALSE)</f>
        <v>7572 VD</v>
      </c>
      <c r="E16" s="187" t="str">
        <f>VLOOKUP(Ruimtestaat[[#This Row],[Code]],Locaties[#All],6,FALSE)</f>
        <v>Oldenzaal</v>
      </c>
      <c r="F16" s="232"/>
      <c r="G16" s="187" t="s">
        <v>679</v>
      </c>
      <c r="H16" s="187">
        <v>5.5</v>
      </c>
      <c r="I16" s="232" t="s">
        <v>708</v>
      </c>
      <c r="J16" s="187">
        <v>14</v>
      </c>
      <c r="K16" s="187" t="str">
        <f>VLOOKUP(Ruimtestaat[[#This Row],[Ruimte code]],Ruimtegroepen[#All],2,FALSE)</f>
        <v>Praktijklokalen/kabinet</v>
      </c>
      <c r="L16" s="231" t="s">
        <v>677</v>
      </c>
      <c r="M16" s="187" t="s">
        <v>1200</v>
      </c>
      <c r="N16" s="200">
        <v>7.1</v>
      </c>
      <c r="O16" s="200"/>
      <c r="P16" s="231" t="str">
        <f>VLOOKUP(Ruimtestaat[[#This Row],[Ruimte code]],Ruimtegroepen[#All],4,FALSE)</f>
        <v>L  (Lesruimte)</v>
      </c>
      <c r="Q16" s="201"/>
      <c r="R16" s="202">
        <v>42</v>
      </c>
      <c r="S16" s="202" t="s">
        <v>15</v>
      </c>
      <c r="T16" s="202">
        <f>IF(R16&gt;0,IF(RIGHT(Ruimtestaat[[#This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16" s="202">
        <f>IF(T16&gt;0,VLOOKUP($J16,Ruimtegroepen[],3,FALSE)*VLOOKUP($L16,Vloersoorten[],3,FALSE)*VLOOKUP($S16,Frequenties[],3,FALSE)*VLOOKUP($A16,Locaties[],3,FALSE),0)</f>
        <v>0</v>
      </c>
      <c r="V16" s="202">
        <f>Ruimtestaat[[#This Row],[Uitvoeringen werkdagen]]*Ruimtestaat[[#This Row],[Oppervlak (netto)]]</f>
        <v>298.2</v>
      </c>
      <c r="W16" s="242">
        <f>IF(U16&gt;0,Ruimtestaat[[#This Row],[Prest. (m2 /jaar) werkdagen]]/Ruimtestaat[[#This Row],[Norm (m2/uur) werkdagen]],0)</f>
        <v>0</v>
      </c>
      <c r="X16" s="243">
        <f>Ruimtestaat[[#This Row],[uren / jaar werkdagen]]*Tariefsopbouw!$D$38</f>
        <v>0</v>
      </c>
      <c r="Y16" s="33"/>
      <c r="Z16" s="33">
        <f>IF(Ruimtestaat[[#This Row],[Frequentie weekend]]&gt;0,VALUE(LEFT(Y16,1))*R16,0)</f>
        <v>0</v>
      </c>
      <c r="AA16" s="33">
        <f>IF($Z16&gt;0,VLOOKUP($J16,Ruimtegroepen[],3,FALSE)*VLOOKUP($L16,Vloersoorten[],3,FALSE)*VLOOKUP($Y16,Frequenties[],3,FALSE)*VLOOKUP(#REF!,Locaties[],3,FALSE),0)</f>
        <v>0</v>
      </c>
      <c r="AB16" s="33"/>
      <c r="AC16" s="33"/>
      <c r="AD16" s="33">
        <f>Ruimtestaat[[#This Row],[uren / jaar weekend]]*Tariefsopbouw!$D$40</f>
        <v>0</v>
      </c>
      <c r="AE16" s="86">
        <f>Ruimtestaat[[#This Row],[Prest. (m2 /jaar) weekend]]+Ruimtestaat[[#This Row],[Prest. (m2 /jaar) werkdagen]]</f>
        <v>298.2</v>
      </c>
      <c r="AF16" s="86">
        <f>Ruimtestaat[[#This Row],[uren / jaar weekend]]+Ruimtestaat[[#This Row],[uren / jaar werkdagen]]</f>
        <v>0</v>
      </c>
      <c r="AG16" s="87">
        <f>Ruimtestaat[[#This Row],[kosten / jaar weekend]]+Ruimtestaat[[#This Row],[kosten / jaar werkdagen]]</f>
        <v>0</v>
      </c>
      <c r="AH16" s="110"/>
      <c r="HL16" s="85"/>
    </row>
    <row r="17" spans="1:220" ht="15" customHeight="1">
      <c r="A17" s="187">
        <v>1</v>
      </c>
      <c r="B17" s="21" t="str">
        <f>VLOOKUP(Ruimtestaat[[#This Row],[Code]],Locaties[#All],2,FALSE)</f>
        <v>Praktijkonderwijs</v>
      </c>
      <c r="C17" s="231" t="str">
        <f>VLOOKUP(Ruimtestaat[[#This Row],[Code]],Locaties[#All],4,FALSE)</f>
        <v>Leliestraat 1</v>
      </c>
      <c r="D17" s="231" t="str">
        <f>VLOOKUP(Ruimtestaat[[#This Row],[Code]],Locaties[#All],5,FALSE)</f>
        <v>7572 VD</v>
      </c>
      <c r="E17" s="187" t="str">
        <f>VLOOKUP(Ruimtestaat[[#This Row],[Code]],Locaties[#All],6,FALSE)</f>
        <v>Oldenzaal</v>
      </c>
      <c r="F17" s="232"/>
      <c r="G17" s="187" t="s">
        <v>679</v>
      </c>
      <c r="H17" s="187">
        <v>5.6</v>
      </c>
      <c r="I17" s="232" t="s">
        <v>709</v>
      </c>
      <c r="J17" s="187">
        <v>5</v>
      </c>
      <c r="K17" s="187" t="str">
        <f>VLOOKUP(Ruimtestaat[[#This Row],[Ruimte code]],Ruimtegroepen[#All],2,FALSE)</f>
        <v>Sanitair</v>
      </c>
      <c r="L17" s="202" t="s">
        <v>108</v>
      </c>
      <c r="M17" s="187" t="s">
        <v>1201</v>
      </c>
      <c r="N17" s="200">
        <v>8</v>
      </c>
      <c r="O17" s="200"/>
      <c r="P17" s="231" t="str">
        <f>VLOOKUP(Ruimtestaat[[#This Row],[Ruimte code]],Ruimtegroepen[#All],4,FALSE)</f>
        <v>S  (Sanitair)</v>
      </c>
      <c r="Q17" s="201"/>
      <c r="R17" s="202">
        <v>42</v>
      </c>
      <c r="S17" s="202" t="s">
        <v>15</v>
      </c>
      <c r="T17" s="202">
        <f>IF(R17&gt;0,IF(RIGHT(Ruimtestaat[[#This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17" s="202">
        <f>IF(T17&gt;0,VLOOKUP($J17,Ruimtegroepen[],3,FALSE)*VLOOKUP($L17,Vloersoorten[],3,FALSE)*VLOOKUP($S17,Frequenties[],3,FALSE)*VLOOKUP($A17,Locaties[],3,FALSE),0)</f>
        <v>0</v>
      </c>
      <c r="V17" s="202">
        <f>Ruimtestaat[[#This Row],[Uitvoeringen werkdagen]]*Ruimtestaat[[#This Row],[Oppervlak (netto)]]</f>
        <v>336</v>
      </c>
      <c r="W17" s="242">
        <f>IF(U17&gt;0,Ruimtestaat[[#This Row],[Prest. (m2 /jaar) werkdagen]]/Ruimtestaat[[#This Row],[Norm (m2/uur) werkdagen]],0)</f>
        <v>0</v>
      </c>
      <c r="X17" s="243">
        <f>Ruimtestaat[[#This Row],[uren / jaar werkdagen]]*Tariefsopbouw!$D$38</f>
        <v>0</v>
      </c>
      <c r="Y17" s="33"/>
      <c r="Z17" s="33">
        <f>IF(Ruimtestaat[[#This Row],[Frequentie weekend]]&gt;0,VALUE(LEFT(Y17,1))*R17,0)</f>
        <v>0</v>
      </c>
      <c r="AA17" s="33">
        <f>IF($Z17&gt;0,VLOOKUP($J17,Ruimtegroepen[],3,FALSE)*VLOOKUP($L17,Vloersoorten[],3,FALSE)*VLOOKUP($Y17,Frequenties[],3,FALSE)*VLOOKUP(#REF!,Locaties[],3,FALSE),0)</f>
        <v>0</v>
      </c>
      <c r="AB17" s="33"/>
      <c r="AC17" s="33"/>
      <c r="AD17" s="33">
        <f>Ruimtestaat[[#This Row],[uren / jaar weekend]]*Tariefsopbouw!$D$40</f>
        <v>0</v>
      </c>
      <c r="AE17" s="86">
        <f>Ruimtestaat[[#This Row],[Prest. (m2 /jaar) weekend]]+Ruimtestaat[[#This Row],[Prest. (m2 /jaar) werkdagen]]</f>
        <v>336</v>
      </c>
      <c r="AF17" s="86">
        <f>Ruimtestaat[[#This Row],[uren / jaar weekend]]+Ruimtestaat[[#This Row],[uren / jaar werkdagen]]</f>
        <v>0</v>
      </c>
      <c r="AG17" s="87">
        <f>Ruimtestaat[[#This Row],[kosten / jaar weekend]]+Ruimtestaat[[#This Row],[kosten / jaar werkdagen]]</f>
        <v>0</v>
      </c>
      <c r="AH17" s="110"/>
      <c r="HL17" s="85"/>
    </row>
    <row r="18" spans="1:220" ht="15" customHeight="1">
      <c r="A18" s="187">
        <v>1</v>
      </c>
      <c r="B18" s="21" t="str">
        <f>VLOOKUP(Ruimtestaat[[#This Row],[Code]],Locaties[#All],2,FALSE)</f>
        <v>Praktijkonderwijs</v>
      </c>
      <c r="C18" s="231" t="str">
        <f>VLOOKUP(Ruimtestaat[[#This Row],[Code]],Locaties[#All],4,FALSE)</f>
        <v>Leliestraat 1</v>
      </c>
      <c r="D18" s="231" t="str">
        <f>VLOOKUP(Ruimtestaat[[#This Row],[Code]],Locaties[#All],5,FALSE)</f>
        <v>7572 VD</v>
      </c>
      <c r="E18" s="187" t="str">
        <f>VLOOKUP(Ruimtestaat[[#This Row],[Code]],Locaties[#All],6,FALSE)</f>
        <v>Oldenzaal</v>
      </c>
      <c r="F18" s="232"/>
      <c r="G18" s="187" t="s">
        <v>679</v>
      </c>
      <c r="H18" s="187">
        <v>6</v>
      </c>
      <c r="I18" s="232" t="s">
        <v>455</v>
      </c>
      <c r="J18" s="187">
        <v>14</v>
      </c>
      <c r="K18" s="187" t="str">
        <f>VLOOKUP(Ruimtestaat[[#This Row],[Ruimte code]],Ruimtegroepen[#All],2,FALSE)</f>
        <v>Praktijklokalen/kabinet</v>
      </c>
      <c r="L18" s="231" t="s">
        <v>677</v>
      </c>
      <c r="M18" s="187" t="s">
        <v>1200</v>
      </c>
      <c r="N18" s="200">
        <v>43.65</v>
      </c>
      <c r="O18" s="200"/>
      <c r="P18" s="231" t="str">
        <f>VLOOKUP(Ruimtestaat[[#This Row],[Ruimte code]],Ruimtegroepen[#All],4,FALSE)</f>
        <v>L  (Lesruimte)</v>
      </c>
      <c r="Q18" s="201"/>
      <c r="R18" s="202">
        <v>42</v>
      </c>
      <c r="S18" s="202" t="s">
        <v>15</v>
      </c>
      <c r="T18" s="202">
        <f>IF(R18&gt;0,IF(RIGHT(Ruimtestaat[[#This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18" s="202">
        <f>IF(T18&gt;0,VLOOKUP($J18,Ruimtegroepen[],3,FALSE)*VLOOKUP($L18,Vloersoorten[],3,FALSE)*VLOOKUP($S18,Frequenties[],3,FALSE)*VLOOKUP($A18,Locaties[],3,FALSE),0)</f>
        <v>0</v>
      </c>
      <c r="V18" s="202">
        <f>Ruimtestaat[[#This Row],[Uitvoeringen werkdagen]]*Ruimtestaat[[#This Row],[Oppervlak (netto)]]</f>
        <v>1833.3</v>
      </c>
      <c r="W18" s="242">
        <f>IF(U18&gt;0,Ruimtestaat[[#This Row],[Prest. (m2 /jaar) werkdagen]]/Ruimtestaat[[#This Row],[Norm (m2/uur) werkdagen]],0)</f>
        <v>0</v>
      </c>
      <c r="X18" s="243">
        <f>Ruimtestaat[[#This Row],[uren / jaar werkdagen]]*Tariefsopbouw!$D$38</f>
        <v>0</v>
      </c>
      <c r="Y18" s="33"/>
      <c r="Z18" s="33">
        <f>IF(Ruimtestaat[[#This Row],[Frequentie weekend]]&gt;0,VALUE(LEFT(Y18,1))*R18,0)</f>
        <v>0</v>
      </c>
      <c r="AA18" s="33">
        <f>IF($Z18&gt;0,VLOOKUP($J18,Ruimtegroepen[],3,FALSE)*VLOOKUP($L18,Vloersoorten[],3,FALSE)*VLOOKUP($Y18,Frequenties[],3,FALSE)*VLOOKUP(#REF!,Locaties[],3,FALSE),0)</f>
        <v>0</v>
      </c>
      <c r="AB18" s="33"/>
      <c r="AC18" s="33"/>
      <c r="AD18" s="33">
        <f>Ruimtestaat[[#This Row],[uren / jaar weekend]]*Tariefsopbouw!$D$40</f>
        <v>0</v>
      </c>
      <c r="AE18" s="86">
        <f>Ruimtestaat[[#This Row],[Prest. (m2 /jaar) weekend]]+Ruimtestaat[[#This Row],[Prest. (m2 /jaar) werkdagen]]</f>
        <v>1833.3</v>
      </c>
      <c r="AF18" s="86">
        <f>Ruimtestaat[[#This Row],[uren / jaar weekend]]+Ruimtestaat[[#This Row],[uren / jaar werkdagen]]</f>
        <v>0</v>
      </c>
      <c r="AG18" s="87">
        <f>Ruimtestaat[[#This Row],[kosten / jaar weekend]]+Ruimtestaat[[#This Row],[kosten / jaar werkdagen]]</f>
        <v>0</v>
      </c>
      <c r="AH18" s="110"/>
      <c r="HL18" s="85"/>
    </row>
    <row r="19" spans="1:220" ht="15" customHeight="1">
      <c r="A19" s="187">
        <v>1</v>
      </c>
      <c r="B19" s="21" t="str">
        <f>VLOOKUP(Ruimtestaat[[#This Row],[Code]],Locaties[#All],2,FALSE)</f>
        <v>Praktijkonderwijs</v>
      </c>
      <c r="C19" s="231" t="str">
        <f>VLOOKUP(Ruimtestaat[[#This Row],[Code]],Locaties[#All],4,FALSE)</f>
        <v>Leliestraat 1</v>
      </c>
      <c r="D19" s="231" t="str">
        <f>VLOOKUP(Ruimtestaat[[#This Row],[Code]],Locaties[#All],5,FALSE)</f>
        <v>7572 VD</v>
      </c>
      <c r="E19" s="187" t="str">
        <f>VLOOKUP(Ruimtestaat[[#This Row],[Code]],Locaties[#All],6,FALSE)</f>
        <v>Oldenzaal</v>
      </c>
      <c r="F19" s="232"/>
      <c r="G19" s="187" t="s">
        <v>679</v>
      </c>
      <c r="H19" s="187">
        <v>7</v>
      </c>
      <c r="I19" s="232" t="s">
        <v>433</v>
      </c>
      <c r="J19" s="187">
        <v>13</v>
      </c>
      <c r="K19" s="187" t="str">
        <f>VLOOKUP(Ruimtestaat[[#This Row],[Ruimte code]],Ruimtegroepen[#All],2,FALSE)</f>
        <v>Personeelskamer</v>
      </c>
      <c r="L19" s="231" t="s">
        <v>677</v>
      </c>
      <c r="M19" s="187" t="s">
        <v>1200</v>
      </c>
      <c r="N19" s="200">
        <v>32.6</v>
      </c>
      <c r="O19" s="200"/>
      <c r="P19" s="231" t="str">
        <f>VLOOKUP(Ruimtestaat[[#This Row],[Ruimte code]],Ruimtegroepen[#All],4,FALSE)</f>
        <v>V  (Verkeersruimte)</v>
      </c>
      <c r="Q19" s="201"/>
      <c r="R19" s="202">
        <v>42</v>
      </c>
      <c r="S19" s="202" t="s">
        <v>2</v>
      </c>
      <c r="T19" s="202">
        <f>IF(R19&gt;0,IF(RIGHT(Ruimtestaat[[#This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9" s="202">
        <f>IF(T19&gt;0,VLOOKUP($J19,Ruimtegroepen[],3,FALSE)*VLOOKUP($L19,Vloersoorten[],3,FALSE)*VLOOKUP($S19,Frequenties[],3,FALSE)*VLOOKUP($A19,Locaties[],3,FALSE),0)</f>
        <v>0</v>
      </c>
      <c r="V19" s="202">
        <f>Ruimtestaat[[#This Row],[Uitvoeringen werkdagen]]*Ruimtestaat[[#This Row],[Oppervlak (netto)]]</f>
        <v>6846</v>
      </c>
      <c r="W19" s="242">
        <f>IF(U19&gt;0,Ruimtestaat[[#This Row],[Prest. (m2 /jaar) werkdagen]]/Ruimtestaat[[#This Row],[Norm (m2/uur) werkdagen]],0)</f>
        <v>0</v>
      </c>
      <c r="X19" s="243">
        <f>Ruimtestaat[[#This Row],[uren / jaar werkdagen]]*Tariefsopbouw!$D$38</f>
        <v>0</v>
      </c>
      <c r="Y19" s="33"/>
      <c r="Z19" s="33">
        <f>IF(Ruimtestaat[[#This Row],[Frequentie weekend]]&gt;0,VALUE(LEFT(Y19,1))*R19,0)</f>
        <v>0</v>
      </c>
      <c r="AA19" s="33">
        <f>IF($Z19&gt;0,VLOOKUP($J19,Ruimtegroepen[],3,FALSE)*VLOOKUP($L19,Vloersoorten[],3,FALSE)*VLOOKUP($Y19,Frequenties[],3,FALSE)*VLOOKUP(#REF!,Locaties[],3,FALSE),0)</f>
        <v>0</v>
      </c>
      <c r="AB19" s="33"/>
      <c r="AC19" s="33"/>
      <c r="AD19" s="33">
        <f>Ruimtestaat[[#This Row],[uren / jaar weekend]]*Tariefsopbouw!$D$40</f>
        <v>0</v>
      </c>
      <c r="AE19" s="86">
        <f>Ruimtestaat[[#This Row],[Prest. (m2 /jaar) weekend]]+Ruimtestaat[[#This Row],[Prest. (m2 /jaar) werkdagen]]</f>
        <v>6846</v>
      </c>
      <c r="AF19" s="86">
        <f>Ruimtestaat[[#This Row],[uren / jaar weekend]]+Ruimtestaat[[#This Row],[uren / jaar werkdagen]]</f>
        <v>0</v>
      </c>
      <c r="AG19" s="87">
        <f>Ruimtestaat[[#This Row],[kosten / jaar weekend]]+Ruimtestaat[[#This Row],[kosten / jaar werkdagen]]</f>
        <v>0</v>
      </c>
      <c r="AH19" s="110"/>
      <c r="HL19" s="85"/>
    </row>
    <row r="20" spans="1:220" ht="15" customHeight="1">
      <c r="A20" s="187">
        <v>1</v>
      </c>
      <c r="B20" s="21" t="str">
        <f>VLOOKUP(Ruimtestaat[[#This Row],[Code]],Locaties[#All],2,FALSE)</f>
        <v>Praktijkonderwijs</v>
      </c>
      <c r="C20" s="231" t="str">
        <f>VLOOKUP(Ruimtestaat[[#This Row],[Code]],Locaties[#All],4,FALSE)</f>
        <v>Leliestraat 1</v>
      </c>
      <c r="D20" s="231" t="str">
        <f>VLOOKUP(Ruimtestaat[[#This Row],[Code]],Locaties[#All],5,FALSE)</f>
        <v>7572 VD</v>
      </c>
      <c r="E20" s="187" t="str">
        <f>VLOOKUP(Ruimtestaat[[#This Row],[Code]],Locaties[#All],6,FALSE)</f>
        <v>Oldenzaal</v>
      </c>
      <c r="F20" s="232"/>
      <c r="G20" s="187" t="s">
        <v>679</v>
      </c>
      <c r="H20" s="187">
        <v>8</v>
      </c>
      <c r="I20" s="232" t="s">
        <v>710</v>
      </c>
      <c r="J20" s="187">
        <v>14</v>
      </c>
      <c r="K20" s="187" t="str">
        <f>VLOOKUP(Ruimtestaat[[#This Row],[Ruimte code]],Ruimtegroepen[#All],2,FALSE)</f>
        <v>Praktijklokalen/kabinet</v>
      </c>
      <c r="L20" s="202" t="s">
        <v>108</v>
      </c>
      <c r="M20" s="187" t="s">
        <v>1201</v>
      </c>
      <c r="N20" s="200">
        <v>56.2</v>
      </c>
      <c r="O20" s="200"/>
      <c r="P20" s="231" t="str">
        <f>VLOOKUP(Ruimtestaat[[#This Row],[Ruimte code]],Ruimtegroepen[#All],4,FALSE)</f>
        <v>L  (Lesruimte)</v>
      </c>
      <c r="Q20" s="201"/>
      <c r="R20" s="202">
        <v>42</v>
      </c>
      <c r="S20" s="202" t="s">
        <v>15</v>
      </c>
      <c r="T20" s="202">
        <f>IF(R20&gt;0,IF(RIGHT(Ruimtestaat[[#This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20" s="202">
        <f>IF(T20&gt;0,VLOOKUP($J20,Ruimtegroepen[],3,FALSE)*VLOOKUP($L20,Vloersoorten[],3,FALSE)*VLOOKUP($S20,Frequenties[],3,FALSE)*VLOOKUP($A20,Locaties[],3,FALSE),0)</f>
        <v>0</v>
      </c>
      <c r="V20" s="202">
        <f>Ruimtestaat[[#This Row],[Uitvoeringen werkdagen]]*Ruimtestaat[[#This Row],[Oppervlak (netto)]]</f>
        <v>2360.4</v>
      </c>
      <c r="W20" s="242">
        <f>IF(U20&gt;0,Ruimtestaat[[#This Row],[Prest. (m2 /jaar) werkdagen]]/Ruimtestaat[[#This Row],[Norm (m2/uur) werkdagen]],0)</f>
        <v>0</v>
      </c>
      <c r="X20" s="243">
        <f>Ruimtestaat[[#This Row],[uren / jaar werkdagen]]*Tariefsopbouw!$D$38</f>
        <v>0</v>
      </c>
      <c r="Y20" s="33"/>
      <c r="Z20" s="33">
        <f>IF(Ruimtestaat[[#This Row],[Frequentie weekend]]&gt;0,VALUE(LEFT(Y20,1))*R20,0)</f>
        <v>0</v>
      </c>
      <c r="AA20" s="33">
        <f>IF($Z20&gt;0,VLOOKUP($J20,Ruimtegroepen[],3,FALSE)*VLOOKUP($L20,Vloersoorten[],3,FALSE)*VLOOKUP($Y20,Frequenties[],3,FALSE)*VLOOKUP(#REF!,Locaties[],3,FALSE),0)</f>
        <v>0</v>
      </c>
      <c r="AB20" s="33"/>
      <c r="AC20" s="33"/>
      <c r="AD20" s="33">
        <f>Ruimtestaat[[#This Row],[uren / jaar weekend]]*Tariefsopbouw!$D$40</f>
        <v>0</v>
      </c>
      <c r="AE20" s="86">
        <f>Ruimtestaat[[#This Row],[Prest. (m2 /jaar) weekend]]+Ruimtestaat[[#This Row],[Prest. (m2 /jaar) werkdagen]]</f>
        <v>2360.4</v>
      </c>
      <c r="AF20" s="86">
        <f>Ruimtestaat[[#This Row],[uren / jaar weekend]]+Ruimtestaat[[#This Row],[uren / jaar werkdagen]]</f>
        <v>0</v>
      </c>
      <c r="AG20" s="87">
        <f>Ruimtestaat[[#This Row],[kosten / jaar weekend]]+Ruimtestaat[[#This Row],[kosten / jaar werkdagen]]</f>
        <v>0</v>
      </c>
      <c r="AH20" s="110"/>
      <c r="HL20" s="85"/>
    </row>
    <row r="21" spans="1:220" ht="15" customHeight="1">
      <c r="A21" s="187">
        <v>1</v>
      </c>
      <c r="B21" s="21" t="str">
        <f>VLOOKUP(Ruimtestaat[[#This Row],[Code]],Locaties[#All],2,FALSE)</f>
        <v>Praktijkonderwijs</v>
      </c>
      <c r="C21" s="231" t="str">
        <f>VLOOKUP(Ruimtestaat[[#This Row],[Code]],Locaties[#All],4,FALSE)</f>
        <v>Leliestraat 1</v>
      </c>
      <c r="D21" s="231" t="str">
        <f>VLOOKUP(Ruimtestaat[[#This Row],[Code]],Locaties[#All],5,FALSE)</f>
        <v>7572 VD</v>
      </c>
      <c r="E21" s="187" t="str">
        <f>VLOOKUP(Ruimtestaat[[#This Row],[Code]],Locaties[#All],6,FALSE)</f>
        <v>Oldenzaal</v>
      </c>
      <c r="F21" s="232"/>
      <c r="G21" s="187" t="s">
        <v>679</v>
      </c>
      <c r="H21" s="187">
        <v>8.1999999999999993</v>
      </c>
      <c r="I21" s="232" t="s">
        <v>430</v>
      </c>
      <c r="J21" s="202">
        <v>14</v>
      </c>
      <c r="K21" s="202" t="str">
        <f>VLOOKUP(Ruimtestaat[[#This Row],[Ruimte code]],Ruimtegroepen[#All],2,FALSE)</f>
        <v>Praktijklokalen/kabinet</v>
      </c>
      <c r="L21" s="202" t="s">
        <v>108</v>
      </c>
      <c r="M21" s="187" t="s">
        <v>1201</v>
      </c>
      <c r="N21" s="200">
        <v>13.9</v>
      </c>
      <c r="O21" s="200"/>
      <c r="P21" s="231" t="str">
        <f>VLOOKUP(Ruimtestaat[[#This Row],[Ruimte code]],Ruimtegroepen[#All],4,FALSE)</f>
        <v>L  (Lesruimte)</v>
      </c>
      <c r="Q21" s="201"/>
      <c r="R21" s="202">
        <v>42</v>
      </c>
      <c r="S21" s="202" t="s">
        <v>15</v>
      </c>
      <c r="T21" s="202">
        <f>IF(R21&gt;0,IF(RIGHT(Ruimtestaat[[#This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21" s="202">
        <f>IF(T21&gt;0,VLOOKUP($J21,Ruimtegroepen[],3,FALSE)*VLOOKUP($L21,Vloersoorten[],3,FALSE)*VLOOKUP($S21,Frequenties[],3,FALSE)*VLOOKUP($A21,Locaties[],3,FALSE),0)</f>
        <v>0</v>
      </c>
      <c r="V21" s="202">
        <f>Ruimtestaat[[#This Row],[Uitvoeringen werkdagen]]*Ruimtestaat[[#This Row],[Oppervlak (netto)]]</f>
        <v>583.80000000000007</v>
      </c>
      <c r="W21" s="242">
        <f>IF(U21&gt;0,Ruimtestaat[[#This Row],[Prest. (m2 /jaar) werkdagen]]/Ruimtestaat[[#This Row],[Norm (m2/uur) werkdagen]],0)</f>
        <v>0</v>
      </c>
      <c r="X21" s="243">
        <f>Ruimtestaat[[#This Row],[uren / jaar werkdagen]]*Tariefsopbouw!$D$38</f>
        <v>0</v>
      </c>
      <c r="Y21" s="33"/>
      <c r="Z21" s="33">
        <f>IF(Ruimtestaat[[#This Row],[Frequentie weekend]]&gt;0,VALUE(LEFT(Y21,1))*R21,0)</f>
        <v>0</v>
      </c>
      <c r="AA21" s="33">
        <f>IF($Z21&gt;0,VLOOKUP($J21,Ruimtegroepen[],3,FALSE)*VLOOKUP($L21,Vloersoorten[],3,FALSE)*VLOOKUP($Y21,Frequenties[],3,FALSE)*VLOOKUP(#REF!,Locaties[],3,FALSE),0)</f>
        <v>0</v>
      </c>
      <c r="AB21" s="33"/>
      <c r="AC21" s="33"/>
      <c r="AD21" s="33">
        <f>Ruimtestaat[[#This Row],[uren / jaar weekend]]*Tariefsopbouw!$D$40</f>
        <v>0</v>
      </c>
      <c r="AE21" s="86">
        <f>Ruimtestaat[[#This Row],[Prest. (m2 /jaar) weekend]]+Ruimtestaat[[#This Row],[Prest. (m2 /jaar) werkdagen]]</f>
        <v>583.80000000000007</v>
      </c>
      <c r="AF21" s="86">
        <f>Ruimtestaat[[#This Row],[uren / jaar weekend]]+Ruimtestaat[[#This Row],[uren / jaar werkdagen]]</f>
        <v>0</v>
      </c>
      <c r="AG21" s="87">
        <f>Ruimtestaat[[#This Row],[kosten / jaar weekend]]+Ruimtestaat[[#This Row],[kosten / jaar werkdagen]]</f>
        <v>0</v>
      </c>
      <c r="AH21" s="110"/>
      <c r="HL21" s="85"/>
    </row>
    <row r="22" spans="1:220" ht="15" customHeight="1">
      <c r="A22" s="187">
        <v>1</v>
      </c>
      <c r="B22" s="21" t="str">
        <f>VLOOKUP(Ruimtestaat[[#This Row],[Code]],Locaties[#All],2,FALSE)</f>
        <v>Praktijkonderwijs</v>
      </c>
      <c r="C22" s="231" t="str">
        <f>VLOOKUP(Ruimtestaat[[#This Row],[Code]],Locaties[#All],4,FALSE)</f>
        <v>Leliestraat 1</v>
      </c>
      <c r="D22" s="231" t="str">
        <f>VLOOKUP(Ruimtestaat[[#This Row],[Code]],Locaties[#All],5,FALSE)</f>
        <v>7572 VD</v>
      </c>
      <c r="E22" s="187" t="str">
        <f>VLOOKUP(Ruimtestaat[[#This Row],[Code]],Locaties[#All],6,FALSE)</f>
        <v>Oldenzaal</v>
      </c>
      <c r="F22" s="232"/>
      <c r="G22" s="187" t="s">
        <v>679</v>
      </c>
      <c r="H22" s="187">
        <v>9</v>
      </c>
      <c r="I22" s="232" t="s">
        <v>711</v>
      </c>
      <c r="J22" s="231">
        <v>12</v>
      </c>
      <c r="K22" s="231" t="str">
        <f>VLOOKUP(Ruimtestaat[[#This Row],[Ruimte code]],Ruimtegroepen[#All],2,FALSE)</f>
        <v>Kantine/aula</v>
      </c>
      <c r="L22" s="231" t="s">
        <v>677</v>
      </c>
      <c r="M22" s="187" t="s">
        <v>1200</v>
      </c>
      <c r="N22" s="200">
        <v>151.6</v>
      </c>
      <c r="O22" s="200"/>
      <c r="P22" s="231" t="str">
        <f>VLOOKUP(Ruimtestaat[[#This Row],[Ruimte code]],Ruimtegroepen[#All],4,FALSE)</f>
        <v>V  (Verkeersruimte)</v>
      </c>
      <c r="Q22" s="201"/>
      <c r="R22" s="202">
        <v>42</v>
      </c>
      <c r="S22" s="202" t="s">
        <v>2</v>
      </c>
      <c r="T22" s="202">
        <f>IF(R22&gt;0,IF(RIGHT(Ruimtestaat[[#This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2" s="202">
        <f>IF(T22&gt;0,VLOOKUP($J22,Ruimtegroepen[],3,FALSE)*VLOOKUP($L22,Vloersoorten[],3,FALSE)*VLOOKUP($S22,Frequenties[],3,FALSE)*VLOOKUP($A22,Locaties[],3,FALSE),0)</f>
        <v>0</v>
      </c>
      <c r="V22" s="202">
        <f>Ruimtestaat[[#This Row],[Uitvoeringen werkdagen]]*Ruimtestaat[[#This Row],[Oppervlak (netto)]]</f>
        <v>31836</v>
      </c>
      <c r="W22" s="242">
        <f>IF(U22&gt;0,Ruimtestaat[[#This Row],[Prest. (m2 /jaar) werkdagen]]/Ruimtestaat[[#This Row],[Norm (m2/uur) werkdagen]],0)</f>
        <v>0</v>
      </c>
      <c r="X22" s="243">
        <f>Ruimtestaat[[#This Row],[uren / jaar werkdagen]]*Tariefsopbouw!$D$38</f>
        <v>0</v>
      </c>
      <c r="Y22" s="33"/>
      <c r="Z22" s="33">
        <f>IF(Ruimtestaat[[#This Row],[Frequentie weekend]]&gt;0,VALUE(LEFT(Y22,1))*R22,0)</f>
        <v>0</v>
      </c>
      <c r="AA22" s="33">
        <f>IF($Z22&gt;0,VLOOKUP($J22,Ruimtegroepen[],3,FALSE)*VLOOKUP($L22,Vloersoorten[],3,FALSE)*VLOOKUP($Y22,Frequenties[],3,FALSE)*VLOOKUP(#REF!,Locaties[],3,FALSE),0)</f>
        <v>0</v>
      </c>
      <c r="AB22" s="33"/>
      <c r="AC22" s="33"/>
      <c r="AD22" s="33">
        <f>Ruimtestaat[[#This Row],[uren / jaar weekend]]*Tariefsopbouw!$D$40</f>
        <v>0</v>
      </c>
      <c r="AE22" s="86">
        <f>Ruimtestaat[[#This Row],[Prest. (m2 /jaar) weekend]]+Ruimtestaat[[#This Row],[Prest. (m2 /jaar) werkdagen]]</f>
        <v>31836</v>
      </c>
      <c r="AF22" s="86">
        <f>Ruimtestaat[[#This Row],[uren / jaar weekend]]+Ruimtestaat[[#This Row],[uren / jaar werkdagen]]</f>
        <v>0</v>
      </c>
      <c r="AG22" s="87">
        <f>Ruimtestaat[[#This Row],[kosten / jaar weekend]]+Ruimtestaat[[#This Row],[kosten / jaar werkdagen]]</f>
        <v>0</v>
      </c>
      <c r="AH22" s="110"/>
      <c r="HL22" s="85"/>
    </row>
    <row r="23" spans="1:220" ht="15" customHeight="1">
      <c r="A23" s="187">
        <v>1</v>
      </c>
      <c r="B23" s="21" t="str">
        <f>VLOOKUP(Ruimtestaat[[#This Row],[Code]],Locaties[#All],2,FALSE)</f>
        <v>Praktijkonderwijs</v>
      </c>
      <c r="C23" s="231" t="str">
        <f>VLOOKUP(Ruimtestaat[[#This Row],[Code]],Locaties[#All],4,FALSE)</f>
        <v>Leliestraat 1</v>
      </c>
      <c r="D23" s="231" t="str">
        <f>VLOOKUP(Ruimtestaat[[#This Row],[Code]],Locaties[#All],5,FALSE)</f>
        <v>7572 VD</v>
      </c>
      <c r="E23" s="187" t="str">
        <f>VLOOKUP(Ruimtestaat[[#This Row],[Code]],Locaties[#All],6,FALSE)</f>
        <v>Oldenzaal</v>
      </c>
      <c r="F23" s="232"/>
      <c r="G23" s="187" t="s">
        <v>679</v>
      </c>
      <c r="H23" s="187">
        <v>9.1</v>
      </c>
      <c r="I23" s="232" t="s">
        <v>269</v>
      </c>
      <c r="J23" s="187">
        <v>10</v>
      </c>
      <c r="K23" s="187" t="str">
        <f>VLOOKUP(Ruimtestaat[[#This Row],[Ruimte code]],Ruimtegroepen[#All],2,FALSE)</f>
        <v>Trappenhuizen/lift</v>
      </c>
      <c r="L23" s="231" t="s">
        <v>677</v>
      </c>
      <c r="M23" s="187" t="s">
        <v>1200</v>
      </c>
      <c r="N23" s="200">
        <v>4</v>
      </c>
      <c r="O23" s="200"/>
      <c r="P23" s="231" t="str">
        <f>VLOOKUP(Ruimtestaat[[#This Row],[Ruimte code]],Ruimtegroepen[#All],4,FALSE)</f>
        <v>V  (Verkeersruimte)</v>
      </c>
      <c r="Q23" s="201"/>
      <c r="R23" s="202">
        <v>42</v>
      </c>
      <c r="S23" s="202" t="s">
        <v>2</v>
      </c>
      <c r="T23" s="202">
        <f>IF(R23&gt;0,IF(RIGHT(Ruimtestaat[[#This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3" s="202">
        <f>IF(T23&gt;0,VLOOKUP($J23,Ruimtegroepen[],3,FALSE)*VLOOKUP($L23,Vloersoorten[],3,FALSE)*VLOOKUP($S23,Frequenties[],3,FALSE)*VLOOKUP($A23,Locaties[],3,FALSE),0)</f>
        <v>0</v>
      </c>
      <c r="V23" s="202">
        <f>Ruimtestaat[[#This Row],[Uitvoeringen werkdagen]]*Ruimtestaat[[#This Row],[Oppervlak (netto)]]</f>
        <v>840</v>
      </c>
      <c r="W23" s="242">
        <f>IF(U23&gt;0,Ruimtestaat[[#This Row],[Prest. (m2 /jaar) werkdagen]]/Ruimtestaat[[#This Row],[Norm (m2/uur) werkdagen]],0)</f>
        <v>0</v>
      </c>
      <c r="X23" s="243">
        <f>Ruimtestaat[[#This Row],[uren / jaar werkdagen]]*Tariefsopbouw!$D$38</f>
        <v>0</v>
      </c>
      <c r="Y23" s="33"/>
      <c r="Z23" s="33">
        <f>IF(Ruimtestaat[[#This Row],[Frequentie weekend]]&gt;0,VALUE(LEFT(Y23,1))*R23,0)</f>
        <v>0</v>
      </c>
      <c r="AA23" s="33">
        <f>IF($Z23&gt;0,VLOOKUP($J23,Ruimtegroepen[],3,FALSE)*VLOOKUP($L23,Vloersoorten[],3,FALSE)*VLOOKUP($Y23,Frequenties[],3,FALSE)*VLOOKUP(#REF!,Locaties[],3,FALSE),0)</f>
        <v>0</v>
      </c>
      <c r="AB23" s="33"/>
      <c r="AC23" s="33"/>
      <c r="AD23" s="33">
        <f>Ruimtestaat[[#This Row],[uren / jaar weekend]]*Tariefsopbouw!$D$40</f>
        <v>0</v>
      </c>
      <c r="AE23" s="86">
        <f>Ruimtestaat[[#This Row],[Prest. (m2 /jaar) weekend]]+Ruimtestaat[[#This Row],[Prest. (m2 /jaar) werkdagen]]</f>
        <v>840</v>
      </c>
      <c r="AF23" s="86">
        <f>Ruimtestaat[[#This Row],[uren / jaar weekend]]+Ruimtestaat[[#This Row],[uren / jaar werkdagen]]</f>
        <v>0</v>
      </c>
      <c r="AG23" s="87">
        <f>Ruimtestaat[[#This Row],[kosten / jaar weekend]]+Ruimtestaat[[#This Row],[kosten / jaar werkdagen]]</f>
        <v>0</v>
      </c>
      <c r="AH23" s="110"/>
      <c r="HL23" s="85"/>
    </row>
    <row r="24" spans="1:220" ht="15" customHeight="1">
      <c r="A24" s="187">
        <v>1</v>
      </c>
      <c r="B24" s="21" t="str">
        <f>VLOOKUP(Ruimtestaat[[#This Row],[Code]],Locaties[#All],2,FALSE)</f>
        <v>Praktijkonderwijs</v>
      </c>
      <c r="C24" s="231" t="str">
        <f>VLOOKUP(Ruimtestaat[[#This Row],[Code]],Locaties[#All],4,FALSE)</f>
        <v>Leliestraat 1</v>
      </c>
      <c r="D24" s="231" t="str">
        <f>VLOOKUP(Ruimtestaat[[#This Row],[Code]],Locaties[#All],5,FALSE)</f>
        <v>7572 VD</v>
      </c>
      <c r="E24" s="187" t="str">
        <f>VLOOKUP(Ruimtestaat[[#This Row],[Code]],Locaties[#All],6,FALSE)</f>
        <v>Oldenzaal</v>
      </c>
      <c r="F24" s="232"/>
      <c r="G24" s="187" t="s">
        <v>679</v>
      </c>
      <c r="H24" s="187">
        <v>9.1999999999999993</v>
      </c>
      <c r="I24" s="232" t="s">
        <v>250</v>
      </c>
      <c r="J24" s="187">
        <v>11</v>
      </c>
      <c r="K24" s="187" t="str">
        <f>VLOOKUP(Ruimtestaat[[#This Row],[Ruimte code]],Ruimtegroepen[#All],2,FALSE)</f>
        <v>Garderobes/kluisjesruimte</v>
      </c>
      <c r="L24" s="231" t="s">
        <v>677</v>
      </c>
      <c r="M24" s="187" t="s">
        <v>1200</v>
      </c>
      <c r="N24" s="200">
        <v>26.8</v>
      </c>
      <c r="O24" s="200"/>
      <c r="P24" s="231" t="str">
        <f>VLOOKUP(Ruimtestaat[[#This Row],[Ruimte code]],Ruimtegroepen[#All],4,FALSE)</f>
        <v>V  (Verkeersruimte)</v>
      </c>
      <c r="Q24" s="201"/>
      <c r="R24" s="202">
        <v>42</v>
      </c>
      <c r="S24" s="202" t="s">
        <v>2</v>
      </c>
      <c r="T24" s="202">
        <f>IF(R24&gt;0,IF(RIGHT(Ruimtestaat[[#This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4" s="202">
        <f>IF(T24&gt;0,VLOOKUP($J24,Ruimtegroepen[],3,FALSE)*VLOOKUP($L24,Vloersoorten[],3,FALSE)*VLOOKUP($S24,Frequenties[],3,FALSE)*VLOOKUP($A24,Locaties[],3,FALSE),0)</f>
        <v>0</v>
      </c>
      <c r="V24" s="202">
        <f>Ruimtestaat[[#This Row],[Uitvoeringen werkdagen]]*Ruimtestaat[[#This Row],[Oppervlak (netto)]]</f>
        <v>5628</v>
      </c>
      <c r="W24" s="242">
        <f>IF(U24&gt;0,Ruimtestaat[[#This Row],[Prest. (m2 /jaar) werkdagen]]/Ruimtestaat[[#This Row],[Norm (m2/uur) werkdagen]],0)</f>
        <v>0</v>
      </c>
      <c r="X24" s="243">
        <f>Ruimtestaat[[#This Row],[uren / jaar werkdagen]]*Tariefsopbouw!$D$38</f>
        <v>0</v>
      </c>
      <c r="Y24" s="33"/>
      <c r="Z24" s="33">
        <f>IF(Ruimtestaat[[#This Row],[Frequentie weekend]]&gt;0,VALUE(LEFT(Y24,1))*R24,0)</f>
        <v>0</v>
      </c>
      <c r="AA24" s="33">
        <f>IF($Z24&gt;0,VLOOKUP($J24,Ruimtegroepen[],3,FALSE)*VLOOKUP($L24,Vloersoorten[],3,FALSE)*VLOOKUP($Y24,Frequenties[],3,FALSE)*VLOOKUP(#REF!,Locaties[],3,FALSE),0)</f>
        <v>0</v>
      </c>
      <c r="AB24" s="33"/>
      <c r="AC24" s="33"/>
      <c r="AD24" s="33">
        <f>Ruimtestaat[[#This Row],[uren / jaar weekend]]*Tariefsopbouw!$D$40</f>
        <v>0</v>
      </c>
      <c r="AE24" s="86">
        <f>Ruimtestaat[[#This Row],[Prest. (m2 /jaar) weekend]]+Ruimtestaat[[#This Row],[Prest. (m2 /jaar) werkdagen]]</f>
        <v>5628</v>
      </c>
      <c r="AF24" s="86">
        <f>Ruimtestaat[[#This Row],[uren / jaar weekend]]+Ruimtestaat[[#This Row],[uren / jaar werkdagen]]</f>
        <v>0</v>
      </c>
      <c r="AG24" s="87">
        <f>Ruimtestaat[[#This Row],[kosten / jaar weekend]]+Ruimtestaat[[#This Row],[kosten / jaar werkdagen]]</f>
        <v>0</v>
      </c>
      <c r="AH24" s="110"/>
      <c r="HL24" s="85"/>
    </row>
    <row r="25" spans="1:220" ht="15" customHeight="1">
      <c r="A25" s="187">
        <v>1</v>
      </c>
      <c r="B25" s="21" t="str">
        <f>VLOOKUP(Ruimtestaat[[#This Row],[Code]],Locaties[#All],2,FALSE)</f>
        <v>Praktijkonderwijs</v>
      </c>
      <c r="C25" s="231" t="str">
        <f>VLOOKUP(Ruimtestaat[[#This Row],[Code]],Locaties[#All],4,FALSE)</f>
        <v>Leliestraat 1</v>
      </c>
      <c r="D25" s="231" t="str">
        <f>VLOOKUP(Ruimtestaat[[#This Row],[Code]],Locaties[#All],5,FALSE)</f>
        <v>7572 VD</v>
      </c>
      <c r="E25" s="187" t="str">
        <f>VLOOKUP(Ruimtestaat[[#This Row],[Code]],Locaties[#All],6,FALSE)</f>
        <v>Oldenzaal</v>
      </c>
      <c r="F25" s="232"/>
      <c r="G25" s="187" t="s">
        <v>679</v>
      </c>
      <c r="H25" s="187">
        <v>10</v>
      </c>
      <c r="I25" s="232" t="s">
        <v>712</v>
      </c>
      <c r="J25" s="187">
        <v>18</v>
      </c>
      <c r="K25" s="187" t="str">
        <f>VLOOKUP(Ruimtestaat[[#This Row],[Ruimte code]],Ruimtegroepen[#All],2,FALSE)</f>
        <v>Gymzaal</v>
      </c>
      <c r="L25" s="187" t="s">
        <v>109</v>
      </c>
      <c r="M25" s="187" t="s">
        <v>1208</v>
      </c>
      <c r="N25" s="200">
        <v>260.60000000000002</v>
      </c>
      <c r="O25" s="200"/>
      <c r="P25" s="231" t="str">
        <f>VLOOKUP(Ruimtestaat[[#This Row],[Ruimte code]],Ruimtegroepen[#All],4,FALSE)</f>
        <v>Sp  (Sportruimte)</v>
      </c>
      <c r="Q25" s="201"/>
      <c r="R25" s="202">
        <v>42</v>
      </c>
      <c r="S25" s="202" t="s">
        <v>2</v>
      </c>
      <c r="T25" s="202">
        <f>IF(R25&gt;0,IF(RIGHT(Ruimtestaat[[#This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5" s="202">
        <f>IF(T25&gt;0,VLOOKUP($J25,Ruimtegroepen[],3,FALSE)*VLOOKUP($L25,Vloersoorten[],3,FALSE)*VLOOKUP($S25,Frequenties[],3,FALSE)*VLOOKUP($A25,Locaties[],3,FALSE),0)</f>
        <v>0</v>
      </c>
      <c r="V25" s="202">
        <f>Ruimtestaat[[#This Row],[Uitvoeringen werkdagen]]*Ruimtestaat[[#This Row],[Oppervlak (netto)]]</f>
        <v>54726.000000000007</v>
      </c>
      <c r="W25" s="242">
        <f>IF(U25&gt;0,Ruimtestaat[[#This Row],[Prest. (m2 /jaar) werkdagen]]/Ruimtestaat[[#This Row],[Norm (m2/uur) werkdagen]],0)</f>
        <v>0</v>
      </c>
      <c r="X25" s="243">
        <f>Ruimtestaat[[#This Row],[uren / jaar werkdagen]]*Tariefsopbouw!$D$38</f>
        <v>0</v>
      </c>
      <c r="Y25" s="33"/>
      <c r="Z25" s="33">
        <f>IF(Ruimtestaat[[#This Row],[Frequentie weekend]]&gt;0,VALUE(LEFT(Y25,1))*R25,0)</f>
        <v>0</v>
      </c>
      <c r="AA25" s="33">
        <f>IF($Z25&gt;0,VLOOKUP($J25,Ruimtegroepen[],3,FALSE)*VLOOKUP($L25,Vloersoorten[],3,FALSE)*VLOOKUP($Y25,Frequenties[],3,FALSE)*VLOOKUP(#REF!,Locaties[],3,FALSE),0)</f>
        <v>0</v>
      </c>
      <c r="AB25" s="33"/>
      <c r="AC25" s="33"/>
      <c r="AD25" s="33">
        <f>Ruimtestaat[[#This Row],[uren / jaar weekend]]*Tariefsopbouw!$D$40</f>
        <v>0</v>
      </c>
      <c r="AE25" s="86">
        <f>Ruimtestaat[[#This Row],[Prest. (m2 /jaar) weekend]]+Ruimtestaat[[#This Row],[Prest. (m2 /jaar) werkdagen]]</f>
        <v>54726.000000000007</v>
      </c>
      <c r="AF25" s="86">
        <f>Ruimtestaat[[#This Row],[uren / jaar weekend]]+Ruimtestaat[[#This Row],[uren / jaar werkdagen]]</f>
        <v>0</v>
      </c>
      <c r="AG25" s="87">
        <f>Ruimtestaat[[#This Row],[kosten / jaar weekend]]+Ruimtestaat[[#This Row],[kosten / jaar werkdagen]]</f>
        <v>0</v>
      </c>
      <c r="AH25" s="110"/>
      <c r="HL25" s="85"/>
    </row>
    <row r="26" spans="1:220" ht="15" customHeight="1">
      <c r="A26" s="187">
        <v>1</v>
      </c>
      <c r="B26" s="21" t="str">
        <f>VLOOKUP(Ruimtestaat[[#This Row],[Code]],Locaties[#All],2,FALSE)</f>
        <v>Praktijkonderwijs</v>
      </c>
      <c r="C26" s="231" t="str">
        <f>VLOOKUP(Ruimtestaat[[#This Row],[Code]],Locaties[#All],4,FALSE)</f>
        <v>Leliestraat 1</v>
      </c>
      <c r="D26" s="231" t="str">
        <f>VLOOKUP(Ruimtestaat[[#This Row],[Code]],Locaties[#All],5,FALSE)</f>
        <v>7572 VD</v>
      </c>
      <c r="E26" s="187" t="str">
        <f>VLOOKUP(Ruimtestaat[[#This Row],[Code]],Locaties[#All],6,FALSE)</f>
        <v>Oldenzaal</v>
      </c>
      <c r="F26" s="232"/>
      <c r="G26" s="187" t="s">
        <v>679</v>
      </c>
      <c r="H26" s="187">
        <v>10.199999999999999</v>
      </c>
      <c r="I26" s="232" t="s">
        <v>612</v>
      </c>
      <c r="J26" s="187">
        <v>19</v>
      </c>
      <c r="K26" s="187" t="str">
        <f>VLOOKUP(Ruimtestaat[[#This Row],[Ruimte code]],Ruimtegroepen[#All],2,FALSE)</f>
        <v>Kleedruimtes</v>
      </c>
      <c r="L26" s="202" t="s">
        <v>108</v>
      </c>
      <c r="M26" s="187" t="s">
        <v>1201</v>
      </c>
      <c r="N26" s="200">
        <v>14.8</v>
      </c>
      <c r="O26" s="200"/>
      <c r="P26" s="231" t="str">
        <f>VLOOKUP(Ruimtestaat[[#This Row],[Ruimte code]],Ruimtegroepen[#All],4,FALSE)</f>
        <v>V  (Verkeersruimte)</v>
      </c>
      <c r="Q26" s="201"/>
      <c r="R26" s="202">
        <v>42</v>
      </c>
      <c r="S26" s="202" t="s">
        <v>2</v>
      </c>
      <c r="T26" s="202">
        <f>IF(R26&gt;0,IF(RIGHT(Ruimtestaat[[#This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6" s="202">
        <f>IF(T26&gt;0,VLOOKUP($J26,Ruimtegroepen[],3,FALSE)*VLOOKUP($L26,Vloersoorten[],3,FALSE)*VLOOKUP($S26,Frequenties[],3,FALSE)*VLOOKUP($A26,Locaties[],3,FALSE),0)</f>
        <v>0</v>
      </c>
      <c r="V26" s="202">
        <f>Ruimtestaat[[#This Row],[Uitvoeringen werkdagen]]*Ruimtestaat[[#This Row],[Oppervlak (netto)]]</f>
        <v>3108</v>
      </c>
      <c r="W26" s="242">
        <f>IF(U26&gt;0,Ruimtestaat[[#This Row],[Prest. (m2 /jaar) werkdagen]]/Ruimtestaat[[#This Row],[Norm (m2/uur) werkdagen]],0)</f>
        <v>0</v>
      </c>
      <c r="X26" s="243">
        <f>Ruimtestaat[[#This Row],[uren / jaar werkdagen]]*Tariefsopbouw!$D$38</f>
        <v>0</v>
      </c>
      <c r="Y26" s="33"/>
      <c r="Z26" s="33">
        <f>IF(Ruimtestaat[[#This Row],[Frequentie weekend]]&gt;0,VALUE(LEFT(Y26,1))*R26,0)</f>
        <v>0</v>
      </c>
      <c r="AA26" s="33">
        <f>IF($Z26&gt;0,VLOOKUP($J26,Ruimtegroepen[],3,FALSE)*VLOOKUP($L26,Vloersoorten[],3,FALSE)*VLOOKUP($Y26,Frequenties[],3,FALSE)*VLOOKUP(#REF!,Locaties[],3,FALSE),0)</f>
        <v>0</v>
      </c>
      <c r="AB26" s="33"/>
      <c r="AC26" s="33"/>
      <c r="AD26" s="33">
        <f>Ruimtestaat[[#This Row],[uren / jaar weekend]]*Tariefsopbouw!$D$40</f>
        <v>0</v>
      </c>
      <c r="AE26" s="86">
        <f>Ruimtestaat[[#This Row],[Prest. (m2 /jaar) weekend]]+Ruimtestaat[[#This Row],[Prest. (m2 /jaar) werkdagen]]</f>
        <v>3108</v>
      </c>
      <c r="AF26" s="86">
        <f>Ruimtestaat[[#This Row],[uren / jaar weekend]]+Ruimtestaat[[#This Row],[uren / jaar werkdagen]]</f>
        <v>0</v>
      </c>
      <c r="AG26" s="87">
        <f>Ruimtestaat[[#This Row],[kosten / jaar weekend]]+Ruimtestaat[[#This Row],[kosten / jaar werkdagen]]</f>
        <v>0</v>
      </c>
      <c r="AH26" s="110"/>
      <c r="HL26" s="85"/>
    </row>
    <row r="27" spans="1:220" ht="15" customHeight="1">
      <c r="A27" s="187">
        <v>1</v>
      </c>
      <c r="B27" s="21" t="str">
        <f>VLOOKUP(Ruimtestaat[[#This Row],[Code]],Locaties[#All],2,FALSE)</f>
        <v>Praktijkonderwijs</v>
      </c>
      <c r="C27" s="231" t="str">
        <f>VLOOKUP(Ruimtestaat[[#This Row],[Code]],Locaties[#All],4,FALSE)</f>
        <v>Leliestraat 1</v>
      </c>
      <c r="D27" s="231" t="str">
        <f>VLOOKUP(Ruimtestaat[[#This Row],[Code]],Locaties[#All],5,FALSE)</f>
        <v>7572 VD</v>
      </c>
      <c r="E27" s="187" t="str">
        <f>VLOOKUP(Ruimtestaat[[#This Row],[Code]],Locaties[#All],6,FALSE)</f>
        <v>Oldenzaal</v>
      </c>
      <c r="F27" s="232"/>
      <c r="G27" s="187" t="s">
        <v>679</v>
      </c>
      <c r="H27" s="187">
        <v>10.3</v>
      </c>
      <c r="I27" s="232" t="s">
        <v>611</v>
      </c>
      <c r="J27" s="187">
        <v>19</v>
      </c>
      <c r="K27" s="187" t="str">
        <f>VLOOKUP(Ruimtestaat[[#This Row],[Ruimte code]],Ruimtegroepen[#All],2,FALSE)</f>
        <v>Kleedruimtes</v>
      </c>
      <c r="L27" s="202" t="s">
        <v>108</v>
      </c>
      <c r="M27" s="187" t="s">
        <v>1201</v>
      </c>
      <c r="N27" s="200">
        <v>32.9</v>
      </c>
      <c r="O27" s="200"/>
      <c r="P27" s="231" t="str">
        <f>VLOOKUP(Ruimtestaat[[#This Row],[Ruimte code]],Ruimtegroepen[#All],4,FALSE)</f>
        <v>V  (Verkeersruimte)</v>
      </c>
      <c r="Q27" s="201"/>
      <c r="R27" s="202">
        <v>42</v>
      </c>
      <c r="S27" s="202" t="s">
        <v>2</v>
      </c>
      <c r="T27" s="202">
        <f>IF(R27&gt;0,IF(RIGHT(Ruimtestaat[[#This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7" s="202">
        <f>IF(T27&gt;0,VLOOKUP($J27,Ruimtegroepen[],3,FALSE)*VLOOKUP($L27,Vloersoorten[],3,FALSE)*VLOOKUP($S27,Frequenties[],3,FALSE)*VLOOKUP($A27,Locaties[],3,FALSE),0)</f>
        <v>0</v>
      </c>
      <c r="V27" s="202">
        <f>Ruimtestaat[[#This Row],[Uitvoeringen werkdagen]]*Ruimtestaat[[#This Row],[Oppervlak (netto)]]</f>
        <v>6909</v>
      </c>
      <c r="W27" s="242">
        <f>IF(U27&gt;0,Ruimtestaat[[#This Row],[Prest. (m2 /jaar) werkdagen]]/Ruimtestaat[[#This Row],[Norm (m2/uur) werkdagen]],0)</f>
        <v>0</v>
      </c>
      <c r="X27" s="243">
        <f>Ruimtestaat[[#This Row],[uren / jaar werkdagen]]*Tariefsopbouw!$D$38</f>
        <v>0</v>
      </c>
      <c r="Y27" s="33"/>
      <c r="Z27" s="33">
        <f>IF(Ruimtestaat[[#This Row],[Frequentie weekend]]&gt;0,VALUE(LEFT(Y27,1))*R27,0)</f>
        <v>0</v>
      </c>
      <c r="AA27" s="33">
        <f>IF($Z27&gt;0,VLOOKUP($J27,Ruimtegroepen[],3,FALSE)*VLOOKUP($L27,Vloersoorten[],3,FALSE)*VLOOKUP($Y27,Frequenties[],3,FALSE)*VLOOKUP(#REF!,Locaties[],3,FALSE),0)</f>
        <v>0</v>
      </c>
      <c r="AB27" s="33"/>
      <c r="AC27" s="33"/>
      <c r="AD27" s="33">
        <f>Ruimtestaat[[#This Row],[uren / jaar weekend]]*Tariefsopbouw!$D$40</f>
        <v>0</v>
      </c>
      <c r="AE27" s="86">
        <f>Ruimtestaat[[#This Row],[Prest. (m2 /jaar) weekend]]+Ruimtestaat[[#This Row],[Prest. (m2 /jaar) werkdagen]]</f>
        <v>6909</v>
      </c>
      <c r="AF27" s="86">
        <f>Ruimtestaat[[#This Row],[uren / jaar weekend]]+Ruimtestaat[[#This Row],[uren / jaar werkdagen]]</f>
        <v>0</v>
      </c>
      <c r="AG27" s="87">
        <f>Ruimtestaat[[#This Row],[kosten / jaar weekend]]+Ruimtestaat[[#This Row],[kosten / jaar werkdagen]]</f>
        <v>0</v>
      </c>
      <c r="AH27" s="110"/>
      <c r="HL27" s="85"/>
    </row>
    <row r="28" spans="1:220" ht="15" customHeight="1">
      <c r="A28" s="187">
        <v>1</v>
      </c>
      <c r="B28" s="21" t="str">
        <f>VLOOKUP(Ruimtestaat[[#This Row],[Code]],Locaties[#All],2,FALSE)</f>
        <v>Praktijkonderwijs</v>
      </c>
      <c r="C28" s="231" t="str">
        <f>VLOOKUP(Ruimtestaat[[#This Row],[Code]],Locaties[#All],4,FALSE)</f>
        <v>Leliestraat 1</v>
      </c>
      <c r="D28" s="231" t="str">
        <f>VLOOKUP(Ruimtestaat[[#This Row],[Code]],Locaties[#All],5,FALSE)</f>
        <v>7572 VD</v>
      </c>
      <c r="E28" s="187" t="str">
        <f>VLOOKUP(Ruimtestaat[[#This Row],[Code]],Locaties[#All],6,FALSE)</f>
        <v>Oldenzaal</v>
      </c>
      <c r="F28" s="232"/>
      <c r="G28" s="187" t="s">
        <v>679</v>
      </c>
      <c r="H28" s="187">
        <v>10.4</v>
      </c>
      <c r="I28" s="232" t="s">
        <v>713</v>
      </c>
      <c r="J28" s="231">
        <v>5</v>
      </c>
      <c r="K28" s="231" t="str">
        <f>VLOOKUP(Ruimtestaat[[#This Row],[Ruimte code]],Ruimtegroepen[#All],2,FALSE)</f>
        <v>Sanitair</v>
      </c>
      <c r="L28" s="202" t="s">
        <v>108</v>
      </c>
      <c r="M28" s="187" t="s">
        <v>1201</v>
      </c>
      <c r="N28" s="200">
        <v>9.5</v>
      </c>
      <c r="O28" s="200"/>
      <c r="P28" s="231" t="str">
        <f>VLOOKUP(Ruimtestaat[[#This Row],[Ruimte code]],Ruimtegroepen[#All],4,FALSE)</f>
        <v>S  (Sanitair)</v>
      </c>
      <c r="Q28" s="201"/>
      <c r="R28" s="202">
        <v>42</v>
      </c>
      <c r="S28" s="202" t="s">
        <v>2</v>
      </c>
      <c r="T28" s="202">
        <f>IF(R28&gt;0,IF(RIGHT(Ruimtestaat[[#This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8" s="202">
        <f>IF(T28&gt;0,VLOOKUP($J28,Ruimtegroepen[],3,FALSE)*VLOOKUP($L28,Vloersoorten[],3,FALSE)*VLOOKUP($S28,Frequenties[],3,FALSE)*VLOOKUP($A28,Locaties[],3,FALSE),0)</f>
        <v>0</v>
      </c>
      <c r="V28" s="202">
        <f>Ruimtestaat[[#This Row],[Uitvoeringen werkdagen]]*Ruimtestaat[[#This Row],[Oppervlak (netto)]]</f>
        <v>1995</v>
      </c>
      <c r="W28" s="242">
        <f>IF(U28&gt;0,Ruimtestaat[[#This Row],[Prest. (m2 /jaar) werkdagen]]/Ruimtestaat[[#This Row],[Norm (m2/uur) werkdagen]],0)</f>
        <v>0</v>
      </c>
      <c r="X28" s="243">
        <f>Ruimtestaat[[#This Row],[uren / jaar werkdagen]]*Tariefsopbouw!$D$38</f>
        <v>0</v>
      </c>
      <c r="Y28" s="33"/>
      <c r="Z28" s="33">
        <f>IF(Ruimtestaat[[#This Row],[Frequentie weekend]]&gt;0,VALUE(LEFT(Y28,1))*R28,0)</f>
        <v>0</v>
      </c>
      <c r="AA28" s="33">
        <f>IF($Z28&gt;0,VLOOKUP($J28,Ruimtegroepen[],3,FALSE)*VLOOKUP($L28,Vloersoorten[],3,FALSE)*VLOOKUP($Y28,Frequenties[],3,FALSE)*VLOOKUP(#REF!,Locaties[],3,FALSE),0)</f>
        <v>0</v>
      </c>
      <c r="AB28" s="33"/>
      <c r="AC28" s="33"/>
      <c r="AD28" s="33">
        <f>Ruimtestaat[[#This Row],[uren / jaar weekend]]*Tariefsopbouw!$D$40</f>
        <v>0</v>
      </c>
      <c r="AE28" s="86">
        <f>Ruimtestaat[[#This Row],[Prest. (m2 /jaar) weekend]]+Ruimtestaat[[#This Row],[Prest. (m2 /jaar) werkdagen]]</f>
        <v>1995</v>
      </c>
      <c r="AF28" s="86">
        <f>Ruimtestaat[[#This Row],[uren / jaar weekend]]+Ruimtestaat[[#This Row],[uren / jaar werkdagen]]</f>
        <v>0</v>
      </c>
      <c r="AG28" s="87">
        <f>Ruimtestaat[[#This Row],[kosten / jaar weekend]]+Ruimtestaat[[#This Row],[kosten / jaar werkdagen]]</f>
        <v>0</v>
      </c>
      <c r="AH28" s="110"/>
      <c r="HL28" s="85"/>
    </row>
    <row r="29" spans="1:220" ht="15" customHeight="1">
      <c r="A29" s="187">
        <v>1</v>
      </c>
      <c r="B29" s="21" t="str">
        <f>VLOOKUP(Ruimtestaat[[#This Row],[Code]],Locaties[#All],2,FALSE)</f>
        <v>Praktijkonderwijs</v>
      </c>
      <c r="C29" s="231" t="str">
        <f>VLOOKUP(Ruimtestaat[[#This Row],[Code]],Locaties[#All],4,FALSE)</f>
        <v>Leliestraat 1</v>
      </c>
      <c r="D29" s="231" t="str">
        <f>VLOOKUP(Ruimtestaat[[#This Row],[Code]],Locaties[#All],5,FALSE)</f>
        <v>7572 VD</v>
      </c>
      <c r="E29" s="187" t="str">
        <f>VLOOKUP(Ruimtestaat[[#This Row],[Code]],Locaties[#All],6,FALSE)</f>
        <v>Oldenzaal</v>
      </c>
      <c r="F29" s="232"/>
      <c r="G29" s="187" t="s">
        <v>679</v>
      </c>
      <c r="H29" s="187">
        <v>10.5</v>
      </c>
      <c r="I29" s="232" t="s">
        <v>613</v>
      </c>
      <c r="J29" s="187">
        <v>19</v>
      </c>
      <c r="K29" s="187" t="str">
        <f>VLOOKUP(Ruimtestaat[[#This Row],[Ruimte code]],Ruimtegroepen[#All],2,FALSE)</f>
        <v>Kleedruimtes</v>
      </c>
      <c r="L29" s="202" t="s">
        <v>108</v>
      </c>
      <c r="M29" s="187" t="s">
        <v>1201</v>
      </c>
      <c r="N29" s="200">
        <v>32.9</v>
      </c>
      <c r="O29" s="200"/>
      <c r="P29" s="231" t="str">
        <f>VLOOKUP(Ruimtestaat[[#This Row],[Ruimte code]],Ruimtegroepen[#All],4,FALSE)</f>
        <v>V  (Verkeersruimte)</v>
      </c>
      <c r="Q29" s="201"/>
      <c r="R29" s="202">
        <v>42</v>
      </c>
      <c r="S29" s="202" t="s">
        <v>2</v>
      </c>
      <c r="T29" s="202">
        <f>IF(R29&gt;0,IF(RIGHT(Ruimtestaat[[#This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9" s="202">
        <f>IF(T29&gt;0,VLOOKUP($J29,Ruimtegroepen[],3,FALSE)*VLOOKUP($L29,Vloersoorten[],3,FALSE)*VLOOKUP($S29,Frequenties[],3,FALSE)*VLOOKUP($A29,Locaties[],3,FALSE),0)</f>
        <v>0</v>
      </c>
      <c r="V29" s="202">
        <f>Ruimtestaat[[#This Row],[Uitvoeringen werkdagen]]*Ruimtestaat[[#This Row],[Oppervlak (netto)]]</f>
        <v>6909</v>
      </c>
      <c r="W29" s="242">
        <f>IF(U29&gt;0,Ruimtestaat[[#This Row],[Prest. (m2 /jaar) werkdagen]]/Ruimtestaat[[#This Row],[Norm (m2/uur) werkdagen]],0)</f>
        <v>0</v>
      </c>
      <c r="X29" s="243">
        <f>Ruimtestaat[[#This Row],[uren / jaar werkdagen]]*Tariefsopbouw!$D$38</f>
        <v>0</v>
      </c>
      <c r="Y29" s="33"/>
      <c r="Z29" s="33">
        <f>IF(Ruimtestaat[[#This Row],[Frequentie weekend]]&gt;0,VALUE(LEFT(Y29,1))*R29,0)</f>
        <v>0</v>
      </c>
      <c r="AA29" s="33">
        <f>IF($Z29&gt;0,VLOOKUP($J29,Ruimtegroepen[],3,FALSE)*VLOOKUP($L29,Vloersoorten[],3,FALSE)*VLOOKUP($Y29,Frequenties[],3,FALSE)*VLOOKUP(#REF!,Locaties[],3,FALSE),0)</f>
        <v>0</v>
      </c>
      <c r="AB29" s="33"/>
      <c r="AC29" s="33"/>
      <c r="AD29" s="33">
        <f>Ruimtestaat[[#This Row],[uren / jaar weekend]]*Tariefsopbouw!$D$40</f>
        <v>0</v>
      </c>
      <c r="AE29" s="86">
        <f>Ruimtestaat[[#This Row],[Prest. (m2 /jaar) weekend]]+Ruimtestaat[[#This Row],[Prest. (m2 /jaar) werkdagen]]</f>
        <v>6909</v>
      </c>
      <c r="AF29" s="86">
        <f>Ruimtestaat[[#This Row],[uren / jaar weekend]]+Ruimtestaat[[#This Row],[uren / jaar werkdagen]]</f>
        <v>0</v>
      </c>
      <c r="AG29" s="87">
        <f>Ruimtestaat[[#This Row],[kosten / jaar weekend]]+Ruimtestaat[[#This Row],[kosten / jaar werkdagen]]</f>
        <v>0</v>
      </c>
      <c r="AH29" s="110"/>
      <c r="HL29" s="85"/>
    </row>
    <row r="30" spans="1:220" ht="15" customHeight="1">
      <c r="A30" s="187">
        <v>1</v>
      </c>
      <c r="B30" s="21" t="str">
        <f>VLOOKUP(Ruimtestaat[[#This Row],[Code]],Locaties[#All],2,FALSE)</f>
        <v>Praktijkonderwijs</v>
      </c>
      <c r="C30" s="231" t="str">
        <f>VLOOKUP(Ruimtestaat[[#This Row],[Code]],Locaties[#All],4,FALSE)</f>
        <v>Leliestraat 1</v>
      </c>
      <c r="D30" s="231" t="str">
        <f>VLOOKUP(Ruimtestaat[[#This Row],[Code]],Locaties[#All],5,FALSE)</f>
        <v>7572 VD</v>
      </c>
      <c r="E30" s="187" t="str">
        <f>VLOOKUP(Ruimtestaat[[#This Row],[Code]],Locaties[#All],6,FALSE)</f>
        <v>Oldenzaal</v>
      </c>
      <c r="F30" s="232"/>
      <c r="G30" s="187" t="s">
        <v>679</v>
      </c>
      <c r="H30" s="187">
        <v>10.6</v>
      </c>
      <c r="I30" s="232" t="s">
        <v>414</v>
      </c>
      <c r="J30" s="187">
        <v>6</v>
      </c>
      <c r="K30" s="187" t="str">
        <f>VLOOKUP(Ruimtestaat[[#This Row],[Ruimte code]],Ruimtegroepen[#All],2,FALSE)</f>
        <v>Gangen/hallen</v>
      </c>
      <c r="L30" s="231" t="s">
        <v>677</v>
      </c>
      <c r="M30" s="187" t="s">
        <v>1200</v>
      </c>
      <c r="N30" s="200">
        <v>28.5</v>
      </c>
      <c r="O30" s="200"/>
      <c r="P30" s="231" t="str">
        <f>VLOOKUP(Ruimtestaat[[#This Row],[Ruimte code]],Ruimtegroepen[#All],4,FALSE)</f>
        <v>V  (Verkeersruimte)</v>
      </c>
      <c r="Q30" s="201"/>
      <c r="R30" s="202">
        <v>42</v>
      </c>
      <c r="S30" s="202" t="s">
        <v>2</v>
      </c>
      <c r="T30" s="202">
        <f>IF(R30&gt;0,IF(RIGHT(Ruimtestaat[[#This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0" s="202">
        <f>IF(T30&gt;0,VLOOKUP($J30,Ruimtegroepen[],3,FALSE)*VLOOKUP($L30,Vloersoorten[],3,FALSE)*VLOOKUP($S30,Frequenties[],3,FALSE)*VLOOKUP($A30,Locaties[],3,FALSE),0)</f>
        <v>0</v>
      </c>
      <c r="V30" s="202">
        <f>Ruimtestaat[[#This Row],[Uitvoeringen werkdagen]]*Ruimtestaat[[#This Row],[Oppervlak (netto)]]</f>
        <v>5985</v>
      </c>
      <c r="W30" s="242">
        <f>IF(U30&gt;0,Ruimtestaat[[#This Row],[Prest. (m2 /jaar) werkdagen]]/Ruimtestaat[[#This Row],[Norm (m2/uur) werkdagen]],0)</f>
        <v>0</v>
      </c>
      <c r="X30" s="243">
        <f>Ruimtestaat[[#This Row],[uren / jaar werkdagen]]*Tariefsopbouw!$D$38</f>
        <v>0</v>
      </c>
      <c r="Y30" s="33"/>
      <c r="Z30" s="33">
        <f>IF(Ruimtestaat[[#This Row],[Frequentie weekend]]&gt;0,VALUE(LEFT(Y30,1))*R30,0)</f>
        <v>0</v>
      </c>
      <c r="AA30" s="33">
        <f>IF($Z30&gt;0,VLOOKUP($J30,Ruimtegroepen[],3,FALSE)*VLOOKUP($L30,Vloersoorten[],3,FALSE)*VLOOKUP($Y30,Frequenties[],3,FALSE)*VLOOKUP(#REF!,Locaties[],3,FALSE),0)</f>
        <v>0</v>
      </c>
      <c r="AB30" s="33"/>
      <c r="AC30" s="33"/>
      <c r="AD30" s="33">
        <f>Ruimtestaat[[#This Row],[uren / jaar weekend]]*Tariefsopbouw!$D$40</f>
        <v>0</v>
      </c>
      <c r="AE30" s="86">
        <f>Ruimtestaat[[#This Row],[Prest. (m2 /jaar) weekend]]+Ruimtestaat[[#This Row],[Prest. (m2 /jaar) werkdagen]]</f>
        <v>5985</v>
      </c>
      <c r="AF30" s="86">
        <f>Ruimtestaat[[#This Row],[uren / jaar weekend]]+Ruimtestaat[[#This Row],[uren / jaar werkdagen]]</f>
        <v>0</v>
      </c>
      <c r="AG30" s="87">
        <f>Ruimtestaat[[#This Row],[kosten / jaar weekend]]+Ruimtestaat[[#This Row],[kosten / jaar werkdagen]]</f>
        <v>0</v>
      </c>
      <c r="AH30" s="110"/>
      <c r="HL30" s="85"/>
    </row>
    <row r="31" spans="1:220" ht="15" customHeight="1">
      <c r="A31" s="187">
        <v>1</v>
      </c>
      <c r="B31" s="21" t="str">
        <f>VLOOKUP(Ruimtestaat[[#This Row],[Code]],Locaties[#All],2,FALSE)</f>
        <v>Praktijkonderwijs</v>
      </c>
      <c r="C31" s="231" t="str">
        <f>VLOOKUP(Ruimtestaat[[#This Row],[Code]],Locaties[#All],4,FALSE)</f>
        <v>Leliestraat 1</v>
      </c>
      <c r="D31" s="231" t="str">
        <f>VLOOKUP(Ruimtestaat[[#This Row],[Code]],Locaties[#All],5,FALSE)</f>
        <v>7572 VD</v>
      </c>
      <c r="E31" s="187" t="str">
        <f>VLOOKUP(Ruimtestaat[[#This Row],[Code]],Locaties[#All],6,FALSE)</f>
        <v>Oldenzaal</v>
      </c>
      <c r="F31" s="232"/>
      <c r="G31" s="187" t="s">
        <v>679</v>
      </c>
      <c r="H31" s="187">
        <v>12</v>
      </c>
      <c r="I31" s="232" t="s">
        <v>714</v>
      </c>
      <c r="J31" s="231">
        <v>5</v>
      </c>
      <c r="K31" s="231" t="str">
        <f>VLOOKUP(Ruimtestaat[[#This Row],[Ruimte code]],Ruimtegroepen[#All],2,FALSE)</f>
        <v>Sanitair</v>
      </c>
      <c r="L31" s="202" t="s">
        <v>108</v>
      </c>
      <c r="M31" s="187" t="s">
        <v>1201</v>
      </c>
      <c r="N31" s="200">
        <v>8</v>
      </c>
      <c r="O31" s="200"/>
      <c r="P31" s="231" t="str">
        <f>VLOOKUP(Ruimtestaat[[#This Row],[Ruimte code]],Ruimtegroepen[#All],4,FALSE)</f>
        <v>S  (Sanitair)</v>
      </c>
      <c r="Q31" s="201"/>
      <c r="R31" s="202">
        <v>42</v>
      </c>
      <c r="S31" s="202" t="s">
        <v>2</v>
      </c>
      <c r="T31" s="202">
        <f>IF(R31&gt;0,IF(RIGHT(Ruimtestaat[[#This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1" s="202">
        <f>IF(T31&gt;0,VLOOKUP($J31,Ruimtegroepen[],3,FALSE)*VLOOKUP($L31,Vloersoorten[],3,FALSE)*VLOOKUP($S31,Frequenties[],3,FALSE)*VLOOKUP($A31,Locaties[],3,FALSE),0)</f>
        <v>0</v>
      </c>
      <c r="V31" s="202">
        <f>Ruimtestaat[[#This Row],[Uitvoeringen werkdagen]]*Ruimtestaat[[#This Row],[Oppervlak (netto)]]</f>
        <v>1680</v>
      </c>
      <c r="W31" s="242">
        <f>IF(U31&gt;0,Ruimtestaat[[#This Row],[Prest. (m2 /jaar) werkdagen]]/Ruimtestaat[[#This Row],[Norm (m2/uur) werkdagen]],0)</f>
        <v>0</v>
      </c>
      <c r="X31" s="243">
        <f>Ruimtestaat[[#This Row],[uren / jaar werkdagen]]*Tariefsopbouw!$D$38</f>
        <v>0</v>
      </c>
      <c r="Y31" s="33"/>
      <c r="Z31" s="33">
        <f>IF(Ruimtestaat[[#This Row],[Frequentie weekend]]&gt;0,VALUE(LEFT(Y31,1))*R31,0)</f>
        <v>0</v>
      </c>
      <c r="AA31" s="33">
        <f>IF($Z31&gt;0,VLOOKUP($J31,Ruimtegroepen[],3,FALSE)*VLOOKUP($L31,Vloersoorten[],3,FALSE)*VLOOKUP($Y31,Frequenties[],3,FALSE)*VLOOKUP(#REF!,Locaties[],3,FALSE),0)</f>
        <v>0</v>
      </c>
      <c r="AB31" s="33"/>
      <c r="AC31" s="33"/>
      <c r="AD31" s="33">
        <f>Ruimtestaat[[#This Row],[uren / jaar weekend]]*Tariefsopbouw!$D$40</f>
        <v>0</v>
      </c>
      <c r="AE31" s="86">
        <f>Ruimtestaat[[#This Row],[Prest. (m2 /jaar) weekend]]+Ruimtestaat[[#This Row],[Prest. (m2 /jaar) werkdagen]]</f>
        <v>1680</v>
      </c>
      <c r="AF31" s="86">
        <f>Ruimtestaat[[#This Row],[uren / jaar weekend]]+Ruimtestaat[[#This Row],[uren / jaar werkdagen]]</f>
        <v>0</v>
      </c>
      <c r="AG31" s="87">
        <f>Ruimtestaat[[#This Row],[kosten / jaar weekend]]+Ruimtestaat[[#This Row],[kosten / jaar werkdagen]]</f>
        <v>0</v>
      </c>
      <c r="AH31" s="110"/>
      <c r="HL31" s="85"/>
    </row>
    <row r="32" spans="1:220" ht="15" customHeight="1">
      <c r="A32" s="187">
        <v>1</v>
      </c>
      <c r="B32" s="21" t="str">
        <f>VLOOKUP(Ruimtestaat[[#This Row],[Code]],Locaties[#All],2,FALSE)</f>
        <v>Praktijkonderwijs</v>
      </c>
      <c r="C32" s="231" t="str">
        <f>VLOOKUP(Ruimtestaat[[#This Row],[Code]],Locaties[#All],4,FALSE)</f>
        <v>Leliestraat 1</v>
      </c>
      <c r="D32" s="231" t="str">
        <f>VLOOKUP(Ruimtestaat[[#This Row],[Code]],Locaties[#All],5,FALSE)</f>
        <v>7572 VD</v>
      </c>
      <c r="E32" s="187" t="str">
        <f>VLOOKUP(Ruimtestaat[[#This Row],[Code]],Locaties[#All],6,FALSE)</f>
        <v>Oldenzaal</v>
      </c>
      <c r="F32" s="232"/>
      <c r="G32" s="187" t="s">
        <v>679</v>
      </c>
      <c r="H32" s="187">
        <v>13</v>
      </c>
      <c r="I32" s="232" t="s">
        <v>715</v>
      </c>
      <c r="J32" s="187">
        <v>5</v>
      </c>
      <c r="K32" s="187" t="str">
        <f>VLOOKUP(Ruimtestaat[[#This Row],[Ruimte code]],Ruimtegroepen[#All],2,FALSE)</f>
        <v>Sanitair</v>
      </c>
      <c r="L32" s="202" t="s">
        <v>108</v>
      </c>
      <c r="M32" s="187" t="s">
        <v>1201</v>
      </c>
      <c r="N32" s="200">
        <v>8</v>
      </c>
      <c r="O32" s="200"/>
      <c r="P32" s="231" t="str">
        <f>VLOOKUP(Ruimtestaat[[#This Row],[Ruimte code]],Ruimtegroepen[#All],4,FALSE)</f>
        <v>S  (Sanitair)</v>
      </c>
      <c r="Q32" s="201"/>
      <c r="R32" s="202">
        <v>42</v>
      </c>
      <c r="S32" s="202" t="s">
        <v>2</v>
      </c>
      <c r="T32" s="202">
        <f>IF(R32&gt;0,IF(RIGHT(Ruimtestaat[[#This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2" s="202">
        <f>IF(T32&gt;0,VLOOKUP($J32,Ruimtegroepen[],3,FALSE)*VLOOKUP($L32,Vloersoorten[],3,FALSE)*VLOOKUP($S32,Frequenties[],3,FALSE)*VLOOKUP($A32,Locaties[],3,FALSE),0)</f>
        <v>0</v>
      </c>
      <c r="V32" s="202">
        <f>Ruimtestaat[[#This Row],[Uitvoeringen werkdagen]]*Ruimtestaat[[#This Row],[Oppervlak (netto)]]</f>
        <v>1680</v>
      </c>
      <c r="W32" s="242">
        <f>IF(U32&gt;0,Ruimtestaat[[#This Row],[Prest. (m2 /jaar) werkdagen]]/Ruimtestaat[[#This Row],[Norm (m2/uur) werkdagen]],0)</f>
        <v>0</v>
      </c>
      <c r="X32" s="243">
        <f>Ruimtestaat[[#This Row],[uren / jaar werkdagen]]*Tariefsopbouw!$D$38</f>
        <v>0</v>
      </c>
      <c r="Y32" s="33"/>
      <c r="Z32" s="33">
        <f>IF(Ruimtestaat[[#This Row],[Frequentie weekend]]&gt;0,VALUE(LEFT(Y32,1))*R32,0)</f>
        <v>0</v>
      </c>
      <c r="AA32" s="33">
        <f>IF($Z32&gt;0,VLOOKUP($J32,Ruimtegroepen[],3,FALSE)*VLOOKUP($L32,Vloersoorten[],3,FALSE)*VLOOKUP($Y32,Frequenties[],3,FALSE)*VLOOKUP(#REF!,Locaties[],3,FALSE),0)</f>
        <v>0</v>
      </c>
      <c r="AB32" s="33"/>
      <c r="AC32" s="33"/>
      <c r="AD32" s="33">
        <f>Ruimtestaat[[#This Row],[uren / jaar weekend]]*Tariefsopbouw!$D$40</f>
        <v>0</v>
      </c>
      <c r="AE32" s="86">
        <f>Ruimtestaat[[#This Row],[Prest. (m2 /jaar) weekend]]+Ruimtestaat[[#This Row],[Prest. (m2 /jaar) werkdagen]]</f>
        <v>1680</v>
      </c>
      <c r="AF32" s="86">
        <f>Ruimtestaat[[#This Row],[uren / jaar weekend]]+Ruimtestaat[[#This Row],[uren / jaar werkdagen]]</f>
        <v>0</v>
      </c>
      <c r="AG32" s="87">
        <f>Ruimtestaat[[#This Row],[kosten / jaar weekend]]+Ruimtestaat[[#This Row],[kosten / jaar werkdagen]]</f>
        <v>0</v>
      </c>
      <c r="AH32" s="110"/>
      <c r="HL32" s="85"/>
    </row>
    <row r="33" spans="1:220" ht="15" customHeight="1">
      <c r="A33" s="187">
        <v>1</v>
      </c>
      <c r="B33" s="21" t="str">
        <f>VLOOKUP(Ruimtestaat[[#This Row],[Code]],Locaties[#All],2,FALSE)</f>
        <v>Praktijkonderwijs</v>
      </c>
      <c r="C33" s="231" t="str">
        <f>VLOOKUP(Ruimtestaat[[#This Row],[Code]],Locaties[#All],4,FALSE)</f>
        <v>Leliestraat 1</v>
      </c>
      <c r="D33" s="231" t="str">
        <f>VLOOKUP(Ruimtestaat[[#This Row],[Code]],Locaties[#All],5,FALSE)</f>
        <v>7572 VD</v>
      </c>
      <c r="E33" s="187" t="str">
        <f>VLOOKUP(Ruimtestaat[[#This Row],[Code]],Locaties[#All],6,FALSE)</f>
        <v>Oldenzaal</v>
      </c>
      <c r="F33" s="232"/>
      <c r="G33" s="187" t="s">
        <v>679</v>
      </c>
      <c r="H33" s="187" t="s">
        <v>716</v>
      </c>
      <c r="I33" s="232" t="s">
        <v>717</v>
      </c>
      <c r="J33" s="187">
        <v>5</v>
      </c>
      <c r="K33" s="187" t="str">
        <f>VLOOKUP(Ruimtestaat[[#This Row],[Ruimte code]],Ruimtegroepen[#All],2,FALSE)</f>
        <v>Sanitair</v>
      </c>
      <c r="L33" s="202" t="s">
        <v>108</v>
      </c>
      <c r="M33" s="187" t="s">
        <v>1201</v>
      </c>
      <c r="N33" s="200">
        <v>1.2</v>
      </c>
      <c r="O33" s="200"/>
      <c r="P33" s="231" t="str">
        <f>VLOOKUP(Ruimtestaat[[#This Row],[Ruimte code]],Ruimtegroepen[#All],4,FALSE)</f>
        <v>S  (Sanitair)</v>
      </c>
      <c r="Q33" s="201"/>
      <c r="R33" s="202">
        <v>42</v>
      </c>
      <c r="S33" s="202" t="s">
        <v>2</v>
      </c>
      <c r="T33" s="202">
        <f>IF(R33&gt;0,IF(RIGHT(Ruimtestaat[[#This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3" s="202">
        <f>IF(T33&gt;0,VLOOKUP($J33,Ruimtegroepen[],3,FALSE)*VLOOKUP($L33,Vloersoorten[],3,FALSE)*VLOOKUP($S33,Frequenties[],3,FALSE)*VLOOKUP($A33,Locaties[],3,FALSE),0)</f>
        <v>0</v>
      </c>
      <c r="V33" s="202">
        <f>Ruimtestaat[[#This Row],[Uitvoeringen werkdagen]]*Ruimtestaat[[#This Row],[Oppervlak (netto)]]</f>
        <v>252</v>
      </c>
      <c r="W33" s="242">
        <f>IF(U33&gt;0,Ruimtestaat[[#This Row],[Prest. (m2 /jaar) werkdagen]]/Ruimtestaat[[#This Row],[Norm (m2/uur) werkdagen]],0)</f>
        <v>0</v>
      </c>
      <c r="X33" s="243">
        <f>Ruimtestaat[[#This Row],[uren / jaar werkdagen]]*Tariefsopbouw!$D$38</f>
        <v>0</v>
      </c>
      <c r="Y33" s="33"/>
      <c r="Z33" s="33">
        <f>IF(Ruimtestaat[[#This Row],[Frequentie weekend]]&gt;0,VALUE(LEFT(Y33,1))*R33,0)</f>
        <v>0</v>
      </c>
      <c r="AA33" s="33">
        <f>IF($Z33&gt;0,VLOOKUP($J33,Ruimtegroepen[],3,FALSE)*VLOOKUP($L33,Vloersoorten[],3,FALSE)*VLOOKUP($Y33,Frequenties[],3,FALSE)*VLOOKUP(#REF!,Locaties[],3,FALSE),0)</f>
        <v>0</v>
      </c>
      <c r="AB33" s="33"/>
      <c r="AC33" s="33"/>
      <c r="AD33" s="33">
        <f>Ruimtestaat[[#This Row],[uren / jaar weekend]]*Tariefsopbouw!$D$40</f>
        <v>0</v>
      </c>
      <c r="AE33" s="86">
        <f>Ruimtestaat[[#This Row],[Prest. (m2 /jaar) weekend]]+Ruimtestaat[[#This Row],[Prest. (m2 /jaar) werkdagen]]</f>
        <v>252</v>
      </c>
      <c r="AF33" s="86">
        <f>Ruimtestaat[[#This Row],[uren / jaar weekend]]+Ruimtestaat[[#This Row],[uren / jaar werkdagen]]</f>
        <v>0</v>
      </c>
      <c r="AG33" s="87">
        <f>Ruimtestaat[[#This Row],[kosten / jaar weekend]]+Ruimtestaat[[#This Row],[kosten / jaar werkdagen]]</f>
        <v>0</v>
      </c>
      <c r="HL33" s="85"/>
    </row>
    <row r="34" spans="1:220" ht="15" customHeight="1">
      <c r="A34" s="187">
        <v>1</v>
      </c>
      <c r="B34" s="21" t="str">
        <f>VLOOKUP(Ruimtestaat[[#This Row],[Code]],Locaties[#All],2,FALSE)</f>
        <v>Praktijkonderwijs</v>
      </c>
      <c r="C34" s="231" t="str">
        <f>VLOOKUP(Ruimtestaat[[#This Row],[Code]],Locaties[#All],4,FALSE)</f>
        <v>Leliestraat 1</v>
      </c>
      <c r="D34" s="231" t="str">
        <f>VLOOKUP(Ruimtestaat[[#This Row],[Code]],Locaties[#All],5,FALSE)</f>
        <v>7572 VD</v>
      </c>
      <c r="E34" s="187" t="str">
        <f>VLOOKUP(Ruimtestaat[[#This Row],[Code]],Locaties[#All],6,FALSE)</f>
        <v>Oldenzaal</v>
      </c>
      <c r="F34" s="232"/>
      <c r="G34" s="187" t="s">
        <v>679</v>
      </c>
      <c r="H34" s="187" t="s">
        <v>718</v>
      </c>
      <c r="I34" s="232" t="s">
        <v>719</v>
      </c>
      <c r="J34" s="187">
        <v>5</v>
      </c>
      <c r="K34" s="187" t="str">
        <f>VLOOKUP(Ruimtestaat[[#This Row],[Ruimte code]],Ruimtegroepen[#All],2,FALSE)</f>
        <v>Sanitair</v>
      </c>
      <c r="L34" s="202" t="s">
        <v>108</v>
      </c>
      <c r="M34" s="187" t="s">
        <v>1201</v>
      </c>
      <c r="N34" s="200">
        <v>1.2</v>
      </c>
      <c r="O34" s="200"/>
      <c r="P34" s="231" t="str">
        <f>VLOOKUP(Ruimtestaat[[#This Row],[Ruimte code]],Ruimtegroepen[#All],4,FALSE)</f>
        <v>S  (Sanitair)</v>
      </c>
      <c r="Q34" s="201"/>
      <c r="R34" s="202">
        <v>42</v>
      </c>
      <c r="S34" s="202" t="s">
        <v>2</v>
      </c>
      <c r="T34" s="202">
        <f>IF(R34&gt;0,IF(RIGHT(Ruimtestaat[[#This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4" s="202">
        <f>IF(T34&gt;0,VLOOKUP($J34,Ruimtegroepen[],3,FALSE)*VLOOKUP($L34,Vloersoorten[],3,FALSE)*VLOOKUP($S34,Frequenties[],3,FALSE)*VLOOKUP($A34,Locaties[],3,FALSE),0)</f>
        <v>0</v>
      </c>
      <c r="V34" s="202">
        <f>Ruimtestaat[[#This Row],[Uitvoeringen werkdagen]]*Ruimtestaat[[#This Row],[Oppervlak (netto)]]</f>
        <v>252</v>
      </c>
      <c r="W34" s="242">
        <f>IF(U34&gt;0,Ruimtestaat[[#This Row],[Prest. (m2 /jaar) werkdagen]]/Ruimtestaat[[#This Row],[Norm (m2/uur) werkdagen]],0)</f>
        <v>0</v>
      </c>
      <c r="X34" s="243">
        <f>Ruimtestaat[[#This Row],[uren / jaar werkdagen]]*Tariefsopbouw!$D$38</f>
        <v>0</v>
      </c>
      <c r="Y34" s="33"/>
      <c r="Z34" s="33">
        <f>IF(Ruimtestaat[[#This Row],[Frequentie weekend]]&gt;0,VALUE(LEFT(Y34,1))*R34,0)</f>
        <v>0</v>
      </c>
      <c r="AA34" s="33">
        <f>IF($Z34&gt;0,VLOOKUP($J34,Ruimtegroepen[],3,FALSE)*VLOOKUP($L34,Vloersoorten[],3,FALSE)*VLOOKUP($Y34,Frequenties[],3,FALSE)*VLOOKUP(#REF!,Locaties[],3,FALSE),0)</f>
        <v>0</v>
      </c>
      <c r="AB34" s="33"/>
      <c r="AC34" s="33"/>
      <c r="AD34" s="33">
        <f>Ruimtestaat[[#This Row],[uren / jaar weekend]]*Tariefsopbouw!$D$40</f>
        <v>0</v>
      </c>
      <c r="AE34" s="86">
        <f>Ruimtestaat[[#This Row],[Prest. (m2 /jaar) weekend]]+Ruimtestaat[[#This Row],[Prest. (m2 /jaar) werkdagen]]</f>
        <v>252</v>
      </c>
      <c r="AF34" s="86">
        <f>Ruimtestaat[[#This Row],[uren / jaar weekend]]+Ruimtestaat[[#This Row],[uren / jaar werkdagen]]</f>
        <v>0</v>
      </c>
      <c r="AG34" s="87">
        <f>Ruimtestaat[[#This Row],[kosten / jaar weekend]]+Ruimtestaat[[#This Row],[kosten / jaar werkdagen]]</f>
        <v>0</v>
      </c>
      <c r="HL34" s="85"/>
    </row>
    <row r="35" spans="1:220" ht="15" customHeight="1">
      <c r="A35" s="187">
        <v>1</v>
      </c>
      <c r="B35" s="21" t="str">
        <f>VLOOKUP(Ruimtestaat[[#This Row],[Code]],Locaties[#All],2,FALSE)</f>
        <v>Praktijkonderwijs</v>
      </c>
      <c r="C35" s="231" t="str">
        <f>VLOOKUP(Ruimtestaat[[#This Row],[Code]],Locaties[#All],4,FALSE)</f>
        <v>Leliestraat 1</v>
      </c>
      <c r="D35" s="231" t="str">
        <f>VLOOKUP(Ruimtestaat[[#This Row],[Code]],Locaties[#All],5,FALSE)</f>
        <v>7572 VD</v>
      </c>
      <c r="E35" s="187" t="str">
        <f>VLOOKUP(Ruimtestaat[[#This Row],[Code]],Locaties[#All],6,FALSE)</f>
        <v>Oldenzaal</v>
      </c>
      <c r="F35" s="232"/>
      <c r="G35" s="187" t="s">
        <v>679</v>
      </c>
      <c r="H35" s="187" t="s">
        <v>720</v>
      </c>
      <c r="I35" s="232" t="s">
        <v>715</v>
      </c>
      <c r="J35" s="187">
        <v>5</v>
      </c>
      <c r="K35" s="187" t="str">
        <f>VLOOKUP(Ruimtestaat[[#This Row],[Ruimte code]],Ruimtegroepen[#All],2,FALSE)</f>
        <v>Sanitair</v>
      </c>
      <c r="L35" s="202" t="s">
        <v>108</v>
      </c>
      <c r="M35" s="187" t="s">
        <v>1201</v>
      </c>
      <c r="N35" s="200">
        <v>1.2</v>
      </c>
      <c r="O35" s="200"/>
      <c r="P35" s="231" t="str">
        <f>VLOOKUP(Ruimtestaat[[#This Row],[Ruimte code]],Ruimtegroepen[#All],4,FALSE)</f>
        <v>S  (Sanitair)</v>
      </c>
      <c r="Q35" s="201"/>
      <c r="R35" s="202">
        <v>42</v>
      </c>
      <c r="S35" s="202" t="s">
        <v>2</v>
      </c>
      <c r="T35" s="202">
        <f>IF(R35&gt;0,IF(RIGHT(Ruimtestaat[[#This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5" s="202">
        <f>IF(T35&gt;0,VLOOKUP($J35,Ruimtegroepen[],3,FALSE)*VLOOKUP($L35,Vloersoorten[],3,FALSE)*VLOOKUP($S35,Frequenties[],3,FALSE)*VLOOKUP($A35,Locaties[],3,FALSE),0)</f>
        <v>0</v>
      </c>
      <c r="V35" s="202">
        <f>Ruimtestaat[[#This Row],[Uitvoeringen werkdagen]]*Ruimtestaat[[#This Row],[Oppervlak (netto)]]</f>
        <v>252</v>
      </c>
      <c r="W35" s="242">
        <f>IF(U35&gt;0,Ruimtestaat[[#This Row],[Prest. (m2 /jaar) werkdagen]]/Ruimtestaat[[#This Row],[Norm (m2/uur) werkdagen]],0)</f>
        <v>0</v>
      </c>
      <c r="X35" s="243">
        <f>Ruimtestaat[[#This Row],[uren / jaar werkdagen]]*Tariefsopbouw!$D$38</f>
        <v>0</v>
      </c>
      <c r="Y35" s="33"/>
      <c r="Z35" s="33">
        <f>IF(Ruimtestaat[[#This Row],[Frequentie weekend]]&gt;0,VALUE(LEFT(Y35,1))*R35,0)</f>
        <v>0</v>
      </c>
      <c r="AA35" s="33">
        <f>IF($Z35&gt;0,VLOOKUP($J35,Ruimtegroepen[],3,FALSE)*VLOOKUP($L35,Vloersoorten[],3,FALSE)*VLOOKUP($Y35,Frequenties[],3,FALSE)*VLOOKUP(#REF!,Locaties[],3,FALSE),0)</f>
        <v>0</v>
      </c>
      <c r="AB35" s="33"/>
      <c r="AC35" s="33"/>
      <c r="AD35" s="33">
        <f>Ruimtestaat[[#This Row],[uren / jaar weekend]]*Tariefsopbouw!$D$40</f>
        <v>0</v>
      </c>
      <c r="AE35" s="86">
        <f>Ruimtestaat[[#This Row],[Prest. (m2 /jaar) weekend]]+Ruimtestaat[[#This Row],[Prest. (m2 /jaar) werkdagen]]</f>
        <v>252</v>
      </c>
      <c r="AF35" s="86">
        <f>Ruimtestaat[[#This Row],[uren / jaar weekend]]+Ruimtestaat[[#This Row],[uren / jaar werkdagen]]</f>
        <v>0</v>
      </c>
      <c r="AG35" s="87">
        <f>Ruimtestaat[[#This Row],[kosten / jaar weekend]]+Ruimtestaat[[#This Row],[kosten / jaar werkdagen]]</f>
        <v>0</v>
      </c>
      <c r="HL35" s="85"/>
    </row>
    <row r="36" spans="1:220" ht="15" customHeight="1">
      <c r="A36" s="187">
        <v>1</v>
      </c>
      <c r="B36" s="21" t="str">
        <f>VLOOKUP(Ruimtestaat[[#This Row],[Code]],Locaties[#All],2,FALSE)</f>
        <v>Praktijkonderwijs</v>
      </c>
      <c r="C36" s="231" t="str">
        <f>VLOOKUP(Ruimtestaat[[#This Row],[Code]],Locaties[#All],4,FALSE)</f>
        <v>Leliestraat 1</v>
      </c>
      <c r="D36" s="231" t="str">
        <f>VLOOKUP(Ruimtestaat[[#This Row],[Code]],Locaties[#All],5,FALSE)</f>
        <v>7572 VD</v>
      </c>
      <c r="E36" s="187" t="str">
        <f>VLOOKUP(Ruimtestaat[[#This Row],[Code]],Locaties[#All],6,FALSE)</f>
        <v>Oldenzaal</v>
      </c>
      <c r="F36" s="232"/>
      <c r="G36" s="187" t="s">
        <v>679</v>
      </c>
      <c r="H36" s="187" t="s">
        <v>721</v>
      </c>
      <c r="I36" s="232" t="s">
        <v>705</v>
      </c>
      <c r="J36" s="187">
        <v>16</v>
      </c>
      <c r="K36" s="187" t="str">
        <f>VLOOKUP(Ruimtestaat[[#This Row],[Ruimte code]],Ruimtegroepen[#All],2,FALSE)</f>
        <v>Leslokalen/computerlokaal</v>
      </c>
      <c r="L36" s="231" t="s">
        <v>677</v>
      </c>
      <c r="M36" s="187" t="s">
        <v>1200</v>
      </c>
      <c r="N36" s="200">
        <v>19.7</v>
      </c>
      <c r="O36" s="200"/>
      <c r="P36" s="231" t="str">
        <f>VLOOKUP(Ruimtestaat[[#This Row],[Ruimte code]],Ruimtegroepen[#All],4,FALSE)</f>
        <v>L  (Lesruimte)</v>
      </c>
      <c r="Q36" s="201"/>
      <c r="R36" s="202">
        <v>42</v>
      </c>
      <c r="S36" s="202" t="s">
        <v>2</v>
      </c>
      <c r="T36" s="202">
        <f>IF(R36&gt;0,IF(RIGHT(Ruimtestaat[[#This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6" s="202">
        <f>IF(T36&gt;0,VLOOKUP($J36,Ruimtegroepen[],3,FALSE)*VLOOKUP($L36,Vloersoorten[],3,FALSE)*VLOOKUP($S36,Frequenties[],3,FALSE)*VLOOKUP($A36,Locaties[],3,FALSE),0)</f>
        <v>0</v>
      </c>
      <c r="V36" s="202">
        <f>Ruimtestaat[[#This Row],[Uitvoeringen werkdagen]]*Ruimtestaat[[#This Row],[Oppervlak (netto)]]</f>
        <v>4137</v>
      </c>
      <c r="W36" s="242">
        <f>IF(U36&gt;0,Ruimtestaat[[#This Row],[Prest. (m2 /jaar) werkdagen]]/Ruimtestaat[[#This Row],[Norm (m2/uur) werkdagen]],0)</f>
        <v>0</v>
      </c>
      <c r="X36" s="243">
        <f>Ruimtestaat[[#This Row],[uren / jaar werkdagen]]*Tariefsopbouw!$D$38</f>
        <v>0</v>
      </c>
      <c r="Y36" s="33"/>
      <c r="Z36" s="33">
        <f>IF(Ruimtestaat[[#This Row],[Frequentie weekend]]&gt;0,VALUE(LEFT(Y36,1))*R36,0)</f>
        <v>0</v>
      </c>
      <c r="AA36" s="33">
        <f>IF($Z36&gt;0,VLOOKUP($J36,Ruimtegroepen[],3,FALSE)*VLOOKUP($L36,Vloersoorten[],3,FALSE)*VLOOKUP($Y36,Frequenties[],3,FALSE)*VLOOKUP(#REF!,Locaties[],3,FALSE),0)</f>
        <v>0</v>
      </c>
      <c r="AB36" s="33"/>
      <c r="AC36" s="33"/>
      <c r="AD36" s="33">
        <f>Ruimtestaat[[#This Row],[uren / jaar weekend]]*Tariefsopbouw!$D$40</f>
        <v>0</v>
      </c>
      <c r="AE36" s="86">
        <f>Ruimtestaat[[#This Row],[Prest. (m2 /jaar) weekend]]+Ruimtestaat[[#This Row],[Prest. (m2 /jaar) werkdagen]]</f>
        <v>4137</v>
      </c>
      <c r="AF36" s="86">
        <f>Ruimtestaat[[#This Row],[uren / jaar weekend]]+Ruimtestaat[[#This Row],[uren / jaar werkdagen]]</f>
        <v>0</v>
      </c>
      <c r="AG36" s="87">
        <f>Ruimtestaat[[#This Row],[kosten / jaar weekend]]+Ruimtestaat[[#This Row],[kosten / jaar werkdagen]]</f>
        <v>0</v>
      </c>
      <c r="HL36" s="85"/>
    </row>
    <row r="37" spans="1:220" ht="15" customHeight="1">
      <c r="A37" s="187">
        <v>1</v>
      </c>
      <c r="B37" s="21" t="str">
        <f>VLOOKUP(Ruimtestaat[[#This Row],[Code]],Locaties[#All],2,FALSE)</f>
        <v>Praktijkonderwijs</v>
      </c>
      <c r="C37" s="231" t="str">
        <f>VLOOKUP(Ruimtestaat[[#This Row],[Code]],Locaties[#All],4,FALSE)</f>
        <v>Leliestraat 1</v>
      </c>
      <c r="D37" s="231" t="str">
        <f>VLOOKUP(Ruimtestaat[[#This Row],[Code]],Locaties[#All],5,FALSE)</f>
        <v>7572 VD</v>
      </c>
      <c r="E37" s="187" t="str">
        <f>VLOOKUP(Ruimtestaat[[#This Row],[Code]],Locaties[#All],6,FALSE)</f>
        <v>Oldenzaal</v>
      </c>
      <c r="F37" s="232"/>
      <c r="G37" s="187" t="s">
        <v>679</v>
      </c>
      <c r="H37" s="187" t="s">
        <v>722</v>
      </c>
      <c r="I37" s="232" t="s">
        <v>723</v>
      </c>
      <c r="J37" s="187">
        <v>19</v>
      </c>
      <c r="K37" s="187" t="str">
        <f>VLOOKUP(Ruimtestaat[[#This Row],[Ruimte code]],Ruimtegroepen[#All],2,FALSE)</f>
        <v>Kleedruimtes</v>
      </c>
      <c r="L37" s="202" t="s">
        <v>108</v>
      </c>
      <c r="M37" s="187" t="s">
        <v>1201</v>
      </c>
      <c r="N37" s="200">
        <v>13.6</v>
      </c>
      <c r="O37" s="200"/>
      <c r="P37" s="231" t="str">
        <f>VLOOKUP(Ruimtestaat[[#This Row],[Ruimte code]],Ruimtegroepen[#All],4,FALSE)</f>
        <v>V  (Verkeersruimte)</v>
      </c>
      <c r="Q37" s="201"/>
      <c r="R37" s="202">
        <v>42</v>
      </c>
      <c r="S37" s="202" t="s">
        <v>2</v>
      </c>
      <c r="T37" s="202">
        <f>IF(R37&gt;0,IF(RIGHT(Ruimtestaat[[#This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7" s="202">
        <f>IF(T37&gt;0,VLOOKUP($J37,Ruimtegroepen[],3,FALSE)*VLOOKUP($L37,Vloersoorten[],3,FALSE)*VLOOKUP($S37,Frequenties[],3,FALSE)*VLOOKUP($A37,Locaties[],3,FALSE),0)</f>
        <v>0</v>
      </c>
      <c r="V37" s="202">
        <f>Ruimtestaat[[#This Row],[Uitvoeringen werkdagen]]*Ruimtestaat[[#This Row],[Oppervlak (netto)]]</f>
        <v>2856</v>
      </c>
      <c r="W37" s="242">
        <f>IF(U37&gt;0,Ruimtestaat[[#This Row],[Prest. (m2 /jaar) werkdagen]]/Ruimtestaat[[#This Row],[Norm (m2/uur) werkdagen]],0)</f>
        <v>0</v>
      </c>
      <c r="X37" s="243">
        <f>Ruimtestaat[[#This Row],[uren / jaar werkdagen]]*Tariefsopbouw!$D$38</f>
        <v>0</v>
      </c>
      <c r="Y37" s="33"/>
      <c r="Z37" s="33">
        <f>IF(Ruimtestaat[[#This Row],[Frequentie weekend]]&gt;0,VALUE(LEFT(Y37,1))*R37,0)</f>
        <v>0</v>
      </c>
      <c r="AA37" s="33">
        <f>IF($Z37&gt;0,VLOOKUP($J37,Ruimtegroepen[],3,FALSE)*VLOOKUP($L37,Vloersoorten[],3,FALSE)*VLOOKUP($Y37,Frequenties[],3,FALSE)*VLOOKUP(#REF!,Locaties[],3,FALSE),0)</f>
        <v>0</v>
      </c>
      <c r="AB37" s="33"/>
      <c r="AC37" s="33"/>
      <c r="AD37" s="33">
        <f>Ruimtestaat[[#This Row],[uren / jaar weekend]]*Tariefsopbouw!$D$40</f>
        <v>0</v>
      </c>
      <c r="AE37" s="86">
        <f>Ruimtestaat[[#This Row],[Prest. (m2 /jaar) weekend]]+Ruimtestaat[[#This Row],[Prest. (m2 /jaar) werkdagen]]</f>
        <v>2856</v>
      </c>
      <c r="AF37" s="86">
        <f>Ruimtestaat[[#This Row],[uren / jaar weekend]]+Ruimtestaat[[#This Row],[uren / jaar werkdagen]]</f>
        <v>0</v>
      </c>
      <c r="AG37" s="87">
        <f>Ruimtestaat[[#This Row],[kosten / jaar weekend]]+Ruimtestaat[[#This Row],[kosten / jaar werkdagen]]</f>
        <v>0</v>
      </c>
      <c r="HL37" s="85"/>
    </row>
    <row r="38" spans="1:220" ht="15" customHeight="1">
      <c r="A38" s="187">
        <v>1</v>
      </c>
      <c r="B38" s="21" t="str">
        <f>VLOOKUP(Ruimtestaat[[#This Row],[Code]],Locaties[#All],2,FALSE)</f>
        <v>Praktijkonderwijs</v>
      </c>
      <c r="C38" s="231" t="str">
        <f>VLOOKUP(Ruimtestaat[[#This Row],[Code]],Locaties[#All],4,FALSE)</f>
        <v>Leliestraat 1</v>
      </c>
      <c r="D38" s="231" t="str">
        <f>VLOOKUP(Ruimtestaat[[#This Row],[Code]],Locaties[#All],5,FALSE)</f>
        <v>7572 VD</v>
      </c>
      <c r="E38" s="187" t="str">
        <f>VLOOKUP(Ruimtestaat[[#This Row],[Code]],Locaties[#All],6,FALSE)</f>
        <v>Oldenzaal</v>
      </c>
      <c r="F38" s="232"/>
      <c r="G38" s="187" t="s">
        <v>679</v>
      </c>
      <c r="H38" s="187" t="s">
        <v>724</v>
      </c>
      <c r="I38" s="232" t="s">
        <v>725</v>
      </c>
      <c r="J38" s="187">
        <v>14</v>
      </c>
      <c r="K38" s="187" t="str">
        <f>VLOOKUP(Ruimtestaat[[#This Row],[Ruimte code]],Ruimtegroepen[#All],2,FALSE)</f>
        <v>Praktijklokalen/kabinet</v>
      </c>
      <c r="L38" s="231" t="s">
        <v>677</v>
      </c>
      <c r="M38" s="187" t="s">
        <v>1200</v>
      </c>
      <c r="N38" s="200">
        <v>42.5</v>
      </c>
      <c r="O38" s="200"/>
      <c r="P38" s="231" t="str">
        <f>VLOOKUP(Ruimtestaat[[#This Row],[Ruimte code]],Ruimtegroepen[#All],4,FALSE)</f>
        <v>L  (Lesruimte)</v>
      </c>
      <c r="Q38" s="201"/>
      <c r="R38" s="202">
        <v>42</v>
      </c>
      <c r="S38" s="202" t="s">
        <v>2</v>
      </c>
      <c r="T38" s="202">
        <f>IF(R38&gt;0,IF(RIGHT(Ruimtestaat[[#This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8" s="202">
        <f>IF(T38&gt;0,VLOOKUP($J38,Ruimtegroepen[],3,FALSE)*VLOOKUP($L38,Vloersoorten[],3,FALSE)*VLOOKUP($S38,Frequenties[],3,FALSE)*VLOOKUP($A38,Locaties[],3,FALSE),0)</f>
        <v>0</v>
      </c>
      <c r="V38" s="202">
        <f>Ruimtestaat[[#This Row],[Uitvoeringen werkdagen]]*Ruimtestaat[[#This Row],[Oppervlak (netto)]]</f>
        <v>8925</v>
      </c>
      <c r="W38" s="242">
        <f>IF(U38&gt;0,Ruimtestaat[[#This Row],[Prest. (m2 /jaar) werkdagen]]/Ruimtestaat[[#This Row],[Norm (m2/uur) werkdagen]],0)</f>
        <v>0</v>
      </c>
      <c r="X38" s="243">
        <f>Ruimtestaat[[#This Row],[uren / jaar werkdagen]]*Tariefsopbouw!$D$38</f>
        <v>0</v>
      </c>
      <c r="Y38" s="33"/>
      <c r="Z38" s="33">
        <f>IF(Ruimtestaat[[#This Row],[Frequentie weekend]]&gt;0,VALUE(LEFT(Y38,1))*R38,0)</f>
        <v>0</v>
      </c>
      <c r="AA38" s="33">
        <f>IF($Z38&gt;0,VLOOKUP($J38,Ruimtegroepen[],3,FALSE)*VLOOKUP($L38,Vloersoorten[],3,FALSE)*VLOOKUP($Y38,Frequenties[],3,FALSE)*VLOOKUP(#REF!,Locaties[],3,FALSE),0)</f>
        <v>0</v>
      </c>
      <c r="AB38" s="33"/>
      <c r="AC38" s="33"/>
      <c r="AD38" s="33">
        <f>Ruimtestaat[[#This Row],[uren / jaar weekend]]*Tariefsopbouw!$D$40</f>
        <v>0</v>
      </c>
      <c r="AE38" s="86">
        <f>Ruimtestaat[[#This Row],[Prest. (m2 /jaar) weekend]]+Ruimtestaat[[#This Row],[Prest. (m2 /jaar) werkdagen]]</f>
        <v>8925</v>
      </c>
      <c r="AF38" s="86">
        <f>Ruimtestaat[[#This Row],[uren / jaar weekend]]+Ruimtestaat[[#This Row],[uren / jaar werkdagen]]</f>
        <v>0</v>
      </c>
      <c r="AG38" s="87">
        <f>Ruimtestaat[[#This Row],[kosten / jaar weekend]]+Ruimtestaat[[#This Row],[kosten / jaar werkdagen]]</f>
        <v>0</v>
      </c>
      <c r="HL38" s="85"/>
    </row>
    <row r="39" spans="1:220" ht="15" customHeight="1">
      <c r="A39" s="187">
        <v>1</v>
      </c>
      <c r="B39" s="21" t="str">
        <f>VLOOKUP(Ruimtestaat[[#This Row],[Code]],Locaties[#All],2,FALSE)</f>
        <v>Praktijkonderwijs</v>
      </c>
      <c r="C39" s="231" t="str">
        <f>VLOOKUP(Ruimtestaat[[#This Row],[Code]],Locaties[#All],4,FALSE)</f>
        <v>Leliestraat 1</v>
      </c>
      <c r="D39" s="231" t="str">
        <f>VLOOKUP(Ruimtestaat[[#This Row],[Code]],Locaties[#All],5,FALSE)</f>
        <v>7572 VD</v>
      </c>
      <c r="E39" s="187" t="str">
        <f>VLOOKUP(Ruimtestaat[[#This Row],[Code]],Locaties[#All],6,FALSE)</f>
        <v>Oldenzaal</v>
      </c>
      <c r="F39" s="232"/>
      <c r="G39" s="187" t="s">
        <v>679</v>
      </c>
      <c r="H39" s="187" t="s">
        <v>726</v>
      </c>
      <c r="I39" s="232" t="s">
        <v>727</v>
      </c>
      <c r="J39" s="187">
        <v>16</v>
      </c>
      <c r="K39" s="187" t="str">
        <f>VLOOKUP(Ruimtestaat[[#This Row],[Ruimte code]],Ruimtegroepen[#All],2,FALSE)</f>
        <v>Leslokalen/computerlokaal</v>
      </c>
      <c r="L39" s="231" t="s">
        <v>677</v>
      </c>
      <c r="M39" s="187" t="s">
        <v>1200</v>
      </c>
      <c r="N39" s="200">
        <v>11.1</v>
      </c>
      <c r="O39" s="200"/>
      <c r="P39" s="231" t="str">
        <f>VLOOKUP(Ruimtestaat[[#This Row],[Ruimte code]],Ruimtegroepen[#All],4,FALSE)</f>
        <v>L  (Lesruimte)</v>
      </c>
      <c r="Q39" s="201"/>
      <c r="R39" s="202">
        <v>42</v>
      </c>
      <c r="S39" s="202" t="s">
        <v>2</v>
      </c>
      <c r="T39" s="202">
        <f>IF(R39&gt;0,IF(RIGHT(Ruimtestaat[[#This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9" s="202">
        <f>IF(T39&gt;0,VLOOKUP($J39,Ruimtegroepen[],3,FALSE)*VLOOKUP($L39,Vloersoorten[],3,FALSE)*VLOOKUP($S39,Frequenties[],3,FALSE)*VLOOKUP($A39,Locaties[],3,FALSE),0)</f>
        <v>0</v>
      </c>
      <c r="V39" s="202">
        <f>Ruimtestaat[[#This Row],[Uitvoeringen werkdagen]]*Ruimtestaat[[#This Row],[Oppervlak (netto)]]</f>
        <v>2331</v>
      </c>
      <c r="W39" s="242">
        <f>IF(U39&gt;0,Ruimtestaat[[#This Row],[Prest. (m2 /jaar) werkdagen]]/Ruimtestaat[[#This Row],[Norm (m2/uur) werkdagen]],0)</f>
        <v>0</v>
      </c>
      <c r="X39" s="243">
        <f>Ruimtestaat[[#This Row],[uren / jaar werkdagen]]*Tariefsopbouw!$D$38</f>
        <v>0</v>
      </c>
      <c r="Y39" s="33"/>
      <c r="Z39" s="33">
        <f>IF(Ruimtestaat[[#This Row],[Frequentie weekend]]&gt;0,VALUE(LEFT(Y39,1))*R39,0)</f>
        <v>0</v>
      </c>
      <c r="AA39" s="33">
        <f>IF($Z39&gt;0,VLOOKUP($J39,Ruimtegroepen[],3,FALSE)*VLOOKUP($L39,Vloersoorten[],3,FALSE)*VLOOKUP($Y39,Frequenties[],3,FALSE)*VLOOKUP(#REF!,Locaties[],3,FALSE),0)</f>
        <v>0</v>
      </c>
      <c r="AB39" s="33"/>
      <c r="AC39" s="33"/>
      <c r="AD39" s="33">
        <f>Ruimtestaat[[#This Row],[uren / jaar weekend]]*Tariefsopbouw!$D$40</f>
        <v>0</v>
      </c>
      <c r="AE39" s="86">
        <f>Ruimtestaat[[#This Row],[Prest. (m2 /jaar) weekend]]+Ruimtestaat[[#This Row],[Prest. (m2 /jaar) werkdagen]]</f>
        <v>2331</v>
      </c>
      <c r="AF39" s="86">
        <f>Ruimtestaat[[#This Row],[uren / jaar weekend]]+Ruimtestaat[[#This Row],[uren / jaar werkdagen]]</f>
        <v>0</v>
      </c>
      <c r="AG39" s="87">
        <f>Ruimtestaat[[#This Row],[kosten / jaar weekend]]+Ruimtestaat[[#This Row],[kosten / jaar werkdagen]]</f>
        <v>0</v>
      </c>
      <c r="HL39" s="85"/>
    </row>
    <row r="40" spans="1:220" ht="15" customHeight="1">
      <c r="A40" s="187">
        <v>1</v>
      </c>
      <c r="B40" s="21" t="str">
        <f>VLOOKUP(Ruimtestaat[[#This Row],[Code]],Locaties[#All],2,FALSE)</f>
        <v>Praktijkonderwijs</v>
      </c>
      <c r="C40" s="231" t="str">
        <f>VLOOKUP(Ruimtestaat[[#This Row],[Code]],Locaties[#All],4,FALSE)</f>
        <v>Leliestraat 1</v>
      </c>
      <c r="D40" s="231" t="str">
        <f>VLOOKUP(Ruimtestaat[[#This Row],[Code]],Locaties[#All],5,FALSE)</f>
        <v>7572 VD</v>
      </c>
      <c r="E40" s="187" t="str">
        <f>VLOOKUP(Ruimtestaat[[#This Row],[Code]],Locaties[#All],6,FALSE)</f>
        <v>Oldenzaal</v>
      </c>
      <c r="F40" s="232"/>
      <c r="G40" s="187" t="s">
        <v>679</v>
      </c>
      <c r="H40" s="187" t="s">
        <v>728</v>
      </c>
      <c r="I40" s="232" t="s">
        <v>729</v>
      </c>
      <c r="J40" s="187">
        <v>16</v>
      </c>
      <c r="K40" s="187" t="str">
        <f>VLOOKUP(Ruimtestaat[[#This Row],[Ruimte code]],Ruimtegroepen[#All],2,FALSE)</f>
        <v>Leslokalen/computerlokaal</v>
      </c>
      <c r="L40" s="231" t="s">
        <v>677</v>
      </c>
      <c r="M40" s="187" t="s">
        <v>1200</v>
      </c>
      <c r="N40" s="200">
        <v>19.91</v>
      </c>
      <c r="O40" s="200"/>
      <c r="P40" s="231" t="str">
        <f>VLOOKUP(Ruimtestaat[[#This Row],[Ruimte code]],Ruimtegroepen[#All],4,FALSE)</f>
        <v>L  (Lesruimte)</v>
      </c>
      <c r="Q40" s="201"/>
      <c r="R40" s="202">
        <v>42</v>
      </c>
      <c r="S40" s="202" t="s">
        <v>2</v>
      </c>
      <c r="T40" s="202">
        <f>IF(R40&gt;0,IF(RIGHT(Ruimtestaat[[#This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0" s="202">
        <f>IF(T40&gt;0,VLOOKUP($J40,Ruimtegroepen[],3,FALSE)*VLOOKUP($L40,Vloersoorten[],3,FALSE)*VLOOKUP($S40,Frequenties[],3,FALSE)*VLOOKUP($A40,Locaties[],3,FALSE),0)</f>
        <v>0</v>
      </c>
      <c r="V40" s="202">
        <f>Ruimtestaat[[#This Row],[Uitvoeringen werkdagen]]*Ruimtestaat[[#This Row],[Oppervlak (netto)]]</f>
        <v>4181.1000000000004</v>
      </c>
      <c r="W40" s="242">
        <f>IF(U40&gt;0,Ruimtestaat[[#This Row],[Prest. (m2 /jaar) werkdagen]]/Ruimtestaat[[#This Row],[Norm (m2/uur) werkdagen]],0)</f>
        <v>0</v>
      </c>
      <c r="X40" s="243">
        <f>Ruimtestaat[[#This Row],[uren / jaar werkdagen]]*Tariefsopbouw!$D$38</f>
        <v>0</v>
      </c>
      <c r="Y40" s="33"/>
      <c r="Z40" s="33">
        <f>IF(Ruimtestaat[[#This Row],[Frequentie weekend]]&gt;0,VALUE(LEFT(Y40,1))*R40,0)</f>
        <v>0</v>
      </c>
      <c r="AA40" s="33">
        <f>IF($Z40&gt;0,VLOOKUP($J40,Ruimtegroepen[],3,FALSE)*VLOOKUP($L40,Vloersoorten[],3,FALSE)*VLOOKUP($Y40,Frequenties[],3,FALSE)*VLOOKUP(#REF!,Locaties[],3,FALSE),0)</f>
        <v>0</v>
      </c>
      <c r="AB40" s="33"/>
      <c r="AC40" s="33"/>
      <c r="AD40" s="33">
        <f>Ruimtestaat[[#This Row],[uren / jaar weekend]]*Tariefsopbouw!$D$40</f>
        <v>0</v>
      </c>
      <c r="AE40" s="86">
        <f>Ruimtestaat[[#This Row],[Prest. (m2 /jaar) weekend]]+Ruimtestaat[[#This Row],[Prest. (m2 /jaar) werkdagen]]</f>
        <v>4181.1000000000004</v>
      </c>
      <c r="AF40" s="86">
        <f>Ruimtestaat[[#This Row],[uren / jaar weekend]]+Ruimtestaat[[#This Row],[uren / jaar werkdagen]]</f>
        <v>0</v>
      </c>
      <c r="AG40" s="87">
        <f>Ruimtestaat[[#This Row],[kosten / jaar weekend]]+Ruimtestaat[[#This Row],[kosten / jaar werkdagen]]</f>
        <v>0</v>
      </c>
      <c r="HL40" s="85"/>
    </row>
    <row r="41" spans="1:220" ht="15" customHeight="1">
      <c r="A41" s="187">
        <v>1</v>
      </c>
      <c r="B41" s="21" t="str">
        <f>VLOOKUP(Ruimtestaat[[#This Row],[Code]],Locaties[#All],2,FALSE)</f>
        <v>Praktijkonderwijs</v>
      </c>
      <c r="C41" s="231" t="str">
        <f>VLOOKUP(Ruimtestaat[[#This Row],[Code]],Locaties[#All],4,FALSE)</f>
        <v>Leliestraat 1</v>
      </c>
      <c r="D41" s="231" t="str">
        <f>VLOOKUP(Ruimtestaat[[#This Row],[Code]],Locaties[#All],5,FALSE)</f>
        <v>7572 VD</v>
      </c>
      <c r="E41" s="187" t="str">
        <f>VLOOKUP(Ruimtestaat[[#This Row],[Code]],Locaties[#All],6,FALSE)</f>
        <v>Oldenzaal</v>
      </c>
      <c r="F41" s="232"/>
      <c r="G41" s="187" t="s">
        <v>679</v>
      </c>
      <c r="H41" s="187" t="s">
        <v>730</v>
      </c>
      <c r="I41" s="232" t="s">
        <v>639</v>
      </c>
      <c r="J41" s="187">
        <v>2</v>
      </c>
      <c r="K41" s="187" t="str">
        <f>VLOOKUP(Ruimtestaat[[#This Row],[Ruimte code]],Ruimtegroepen[#All],2,FALSE)</f>
        <v>Kantoren/kantoortuin</v>
      </c>
      <c r="L41" s="231" t="s">
        <v>677</v>
      </c>
      <c r="M41" s="187" t="s">
        <v>1200</v>
      </c>
      <c r="N41" s="200">
        <v>10.1</v>
      </c>
      <c r="O41" s="200"/>
      <c r="P41" s="231" t="str">
        <f>VLOOKUP(Ruimtestaat[[#This Row],[Ruimte code]],Ruimtegroepen[#All],4,FALSE)</f>
        <v>B  (Bureauruimte)</v>
      </c>
      <c r="Q41" s="201"/>
      <c r="R41" s="202">
        <v>42</v>
      </c>
      <c r="S41" s="202" t="s">
        <v>2</v>
      </c>
      <c r="T41" s="202">
        <f>IF(R41&gt;0,IF(RIGHT(Ruimtestaat[[#This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1" s="202">
        <f>IF(T41&gt;0,VLOOKUP($J41,Ruimtegroepen[],3,FALSE)*VLOOKUP($L41,Vloersoorten[],3,FALSE)*VLOOKUP($S41,Frequenties[],3,FALSE)*VLOOKUP($A41,Locaties[],3,FALSE),0)</f>
        <v>0</v>
      </c>
      <c r="V41" s="202">
        <f>Ruimtestaat[[#This Row],[Uitvoeringen werkdagen]]*Ruimtestaat[[#This Row],[Oppervlak (netto)]]</f>
        <v>2121</v>
      </c>
      <c r="W41" s="242">
        <f>IF(U41&gt;0,Ruimtestaat[[#This Row],[Prest. (m2 /jaar) werkdagen]]/Ruimtestaat[[#This Row],[Norm (m2/uur) werkdagen]],0)</f>
        <v>0</v>
      </c>
      <c r="X41" s="243">
        <f>Ruimtestaat[[#This Row],[uren / jaar werkdagen]]*Tariefsopbouw!$D$38</f>
        <v>0</v>
      </c>
      <c r="Y41" s="33"/>
      <c r="Z41" s="33">
        <f>IF(Ruimtestaat[[#This Row],[Frequentie weekend]]&gt;0,VALUE(LEFT(Y41,1))*R41,0)</f>
        <v>0</v>
      </c>
      <c r="AA41" s="33">
        <f>IF($Z41&gt;0,VLOOKUP($J41,Ruimtegroepen[],3,FALSE)*VLOOKUP($L41,Vloersoorten[],3,FALSE)*VLOOKUP($Y41,Frequenties[],3,FALSE)*VLOOKUP(#REF!,Locaties[],3,FALSE),0)</f>
        <v>0</v>
      </c>
      <c r="AB41" s="33"/>
      <c r="AC41" s="33"/>
      <c r="AD41" s="33">
        <f>Ruimtestaat[[#This Row],[uren / jaar weekend]]*Tariefsopbouw!$D$40</f>
        <v>0</v>
      </c>
      <c r="AE41" s="86">
        <f>Ruimtestaat[[#This Row],[Prest. (m2 /jaar) weekend]]+Ruimtestaat[[#This Row],[Prest. (m2 /jaar) werkdagen]]</f>
        <v>2121</v>
      </c>
      <c r="AF41" s="86">
        <f>Ruimtestaat[[#This Row],[uren / jaar weekend]]+Ruimtestaat[[#This Row],[uren / jaar werkdagen]]</f>
        <v>0</v>
      </c>
      <c r="AG41" s="87">
        <f>Ruimtestaat[[#This Row],[kosten / jaar weekend]]+Ruimtestaat[[#This Row],[kosten / jaar werkdagen]]</f>
        <v>0</v>
      </c>
      <c r="HL41" s="85"/>
    </row>
    <row r="42" spans="1:220" ht="15" customHeight="1">
      <c r="A42" s="187">
        <v>1</v>
      </c>
      <c r="B42" s="21" t="str">
        <f>VLOOKUP(Ruimtestaat[[#This Row],[Code]],Locaties[#All],2,FALSE)</f>
        <v>Praktijkonderwijs</v>
      </c>
      <c r="C42" s="231" t="str">
        <f>VLOOKUP(Ruimtestaat[[#This Row],[Code]],Locaties[#All],4,FALSE)</f>
        <v>Leliestraat 1</v>
      </c>
      <c r="D42" s="231" t="str">
        <f>VLOOKUP(Ruimtestaat[[#This Row],[Code]],Locaties[#All],5,FALSE)</f>
        <v>7572 VD</v>
      </c>
      <c r="E42" s="187" t="str">
        <f>VLOOKUP(Ruimtestaat[[#This Row],[Code]],Locaties[#All],6,FALSE)</f>
        <v>Oldenzaal</v>
      </c>
      <c r="F42" s="232"/>
      <c r="G42" s="187" t="s">
        <v>679</v>
      </c>
      <c r="H42" s="187" t="s">
        <v>731</v>
      </c>
      <c r="I42" s="232" t="s">
        <v>732</v>
      </c>
      <c r="J42" s="187">
        <v>14</v>
      </c>
      <c r="K42" s="187" t="str">
        <f>VLOOKUP(Ruimtestaat[[#This Row],[Ruimte code]],Ruimtegroepen[#All],2,FALSE)</f>
        <v>Praktijklokalen/kabinet</v>
      </c>
      <c r="L42" s="231" t="s">
        <v>677</v>
      </c>
      <c r="M42" s="187" t="s">
        <v>1200</v>
      </c>
      <c r="N42" s="200">
        <v>41</v>
      </c>
      <c r="O42" s="200"/>
      <c r="P42" s="231" t="str">
        <f>VLOOKUP(Ruimtestaat[[#This Row],[Ruimte code]],Ruimtegroepen[#All],4,FALSE)</f>
        <v>L  (Lesruimte)</v>
      </c>
      <c r="Q42" s="201"/>
      <c r="R42" s="202">
        <v>42</v>
      </c>
      <c r="S42" s="202" t="s">
        <v>15</v>
      </c>
      <c r="T42" s="202">
        <f>IF(R42&gt;0,IF(RIGHT(Ruimtestaat[[#This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42" s="202">
        <f>IF(T42&gt;0,VLOOKUP($J42,Ruimtegroepen[],3,FALSE)*VLOOKUP($L42,Vloersoorten[],3,FALSE)*VLOOKUP($S42,Frequenties[],3,FALSE)*VLOOKUP($A42,Locaties[],3,FALSE),0)</f>
        <v>0</v>
      </c>
      <c r="V42" s="202">
        <f>Ruimtestaat[[#This Row],[Uitvoeringen werkdagen]]*Ruimtestaat[[#This Row],[Oppervlak (netto)]]</f>
        <v>1722</v>
      </c>
      <c r="W42" s="242">
        <f>IF(U42&gt;0,Ruimtestaat[[#This Row],[Prest. (m2 /jaar) werkdagen]]/Ruimtestaat[[#This Row],[Norm (m2/uur) werkdagen]],0)</f>
        <v>0</v>
      </c>
      <c r="X42" s="243">
        <f>Ruimtestaat[[#This Row],[uren / jaar werkdagen]]*Tariefsopbouw!$D$38</f>
        <v>0</v>
      </c>
      <c r="Y42" s="33"/>
      <c r="Z42" s="33">
        <f>IF(Ruimtestaat[[#This Row],[Frequentie weekend]]&gt;0,VALUE(LEFT(Y42,1))*R42,0)</f>
        <v>0</v>
      </c>
      <c r="AA42" s="33">
        <f>IF($Z42&gt;0,VLOOKUP($J42,Ruimtegroepen[],3,FALSE)*VLOOKUP($L42,Vloersoorten[],3,FALSE)*VLOOKUP($Y42,Frequenties[],3,FALSE)*VLOOKUP(#REF!,Locaties[],3,FALSE),0)</f>
        <v>0</v>
      </c>
      <c r="AB42" s="33"/>
      <c r="AC42" s="33"/>
      <c r="AD42" s="33">
        <f>Ruimtestaat[[#This Row],[uren / jaar weekend]]*Tariefsopbouw!$D$40</f>
        <v>0</v>
      </c>
      <c r="AE42" s="86">
        <f>Ruimtestaat[[#This Row],[Prest. (m2 /jaar) weekend]]+Ruimtestaat[[#This Row],[Prest. (m2 /jaar) werkdagen]]</f>
        <v>1722</v>
      </c>
      <c r="AF42" s="86">
        <f>Ruimtestaat[[#This Row],[uren / jaar weekend]]+Ruimtestaat[[#This Row],[uren / jaar werkdagen]]</f>
        <v>0</v>
      </c>
      <c r="AG42" s="87">
        <f>Ruimtestaat[[#This Row],[kosten / jaar weekend]]+Ruimtestaat[[#This Row],[kosten / jaar werkdagen]]</f>
        <v>0</v>
      </c>
      <c r="HL42" s="85"/>
    </row>
    <row r="43" spans="1:220" ht="15" customHeight="1">
      <c r="A43" s="187">
        <v>1</v>
      </c>
      <c r="B43" s="21" t="str">
        <f>VLOOKUP(Ruimtestaat[[#This Row],[Code]],Locaties[#All],2,FALSE)</f>
        <v>Praktijkonderwijs</v>
      </c>
      <c r="C43" s="231" t="str">
        <f>VLOOKUP(Ruimtestaat[[#This Row],[Code]],Locaties[#All],4,FALSE)</f>
        <v>Leliestraat 1</v>
      </c>
      <c r="D43" s="231" t="str">
        <f>VLOOKUP(Ruimtestaat[[#This Row],[Code]],Locaties[#All],5,FALSE)</f>
        <v>7572 VD</v>
      </c>
      <c r="E43" s="187" t="str">
        <f>VLOOKUP(Ruimtestaat[[#This Row],[Code]],Locaties[#All],6,FALSE)</f>
        <v>Oldenzaal</v>
      </c>
      <c r="F43" s="232"/>
      <c r="G43" s="187" t="s">
        <v>679</v>
      </c>
      <c r="H43" s="187"/>
      <c r="I43" s="232" t="s">
        <v>414</v>
      </c>
      <c r="J43" s="187">
        <v>6</v>
      </c>
      <c r="K43" s="187" t="str">
        <f>VLOOKUP(Ruimtestaat[[#This Row],[Ruimte code]],Ruimtegroepen[#All],2,FALSE)</f>
        <v>Gangen/hallen</v>
      </c>
      <c r="L43" s="231" t="s">
        <v>677</v>
      </c>
      <c r="M43" s="187" t="s">
        <v>1200</v>
      </c>
      <c r="N43" s="200">
        <v>88</v>
      </c>
      <c r="O43" s="200"/>
      <c r="P43" s="231" t="str">
        <f>VLOOKUP(Ruimtestaat[[#This Row],[Ruimte code]],Ruimtegroepen[#All],4,FALSE)</f>
        <v>V  (Verkeersruimte)</v>
      </c>
      <c r="Q43" s="201"/>
      <c r="R43" s="202">
        <v>42</v>
      </c>
      <c r="S43" s="202" t="s">
        <v>2</v>
      </c>
      <c r="T43" s="202">
        <f>IF(R43&gt;0,IF(RIGHT(Ruimtestaat[[#This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3" s="202">
        <f>IF(T43&gt;0,VLOOKUP($J43,Ruimtegroepen[],3,FALSE)*VLOOKUP($L43,Vloersoorten[],3,FALSE)*VLOOKUP($S43,Frequenties[],3,FALSE)*VLOOKUP($A43,Locaties[],3,FALSE),0)</f>
        <v>0</v>
      </c>
      <c r="V43" s="202">
        <f>Ruimtestaat[[#This Row],[Uitvoeringen werkdagen]]*Ruimtestaat[[#This Row],[Oppervlak (netto)]]</f>
        <v>18480</v>
      </c>
      <c r="W43" s="242">
        <f>IF(U43&gt;0,Ruimtestaat[[#This Row],[Prest. (m2 /jaar) werkdagen]]/Ruimtestaat[[#This Row],[Norm (m2/uur) werkdagen]],0)</f>
        <v>0</v>
      </c>
      <c r="X43" s="243">
        <f>Ruimtestaat[[#This Row],[uren / jaar werkdagen]]*Tariefsopbouw!$D$38</f>
        <v>0</v>
      </c>
      <c r="Y43" s="33"/>
      <c r="Z43" s="33">
        <f>IF(Ruimtestaat[[#This Row],[Frequentie weekend]]&gt;0,VALUE(LEFT(Y43,1))*R43,0)</f>
        <v>0</v>
      </c>
      <c r="AA43" s="33">
        <f>IF($Z43&gt;0,VLOOKUP($J43,Ruimtegroepen[],3,FALSE)*VLOOKUP($L43,Vloersoorten[],3,FALSE)*VLOOKUP($Y43,Frequenties[],3,FALSE)*VLOOKUP(#REF!,Locaties[],3,FALSE),0)</f>
        <v>0</v>
      </c>
      <c r="AB43" s="33"/>
      <c r="AC43" s="33"/>
      <c r="AD43" s="33">
        <f>Ruimtestaat[[#This Row],[uren / jaar weekend]]*Tariefsopbouw!$D$40</f>
        <v>0</v>
      </c>
      <c r="AE43" s="86">
        <f>Ruimtestaat[[#This Row],[Prest. (m2 /jaar) weekend]]+Ruimtestaat[[#This Row],[Prest. (m2 /jaar) werkdagen]]</f>
        <v>18480</v>
      </c>
      <c r="AF43" s="86">
        <f>Ruimtestaat[[#This Row],[uren / jaar weekend]]+Ruimtestaat[[#This Row],[uren / jaar werkdagen]]</f>
        <v>0</v>
      </c>
      <c r="AG43" s="87">
        <f>Ruimtestaat[[#This Row],[kosten / jaar weekend]]+Ruimtestaat[[#This Row],[kosten / jaar werkdagen]]</f>
        <v>0</v>
      </c>
      <c r="HL43" s="85"/>
    </row>
    <row r="44" spans="1:220" s="186" customFormat="1" ht="15" customHeight="1">
      <c r="A44" s="187">
        <v>1</v>
      </c>
      <c r="B44" s="21" t="str">
        <f>VLOOKUP(Ruimtestaat[[#This Row],[Code]],Locaties[#All],2,FALSE)</f>
        <v>Praktijkonderwijs</v>
      </c>
      <c r="C44" s="231" t="str">
        <f>VLOOKUP(Ruimtestaat[[#This Row],[Code]],Locaties[#All],4,FALSE)</f>
        <v>Leliestraat 1</v>
      </c>
      <c r="D44" s="231" t="str">
        <f>VLOOKUP(Ruimtestaat[[#This Row],[Code]],Locaties[#All],5,FALSE)</f>
        <v>7572 VD</v>
      </c>
      <c r="E44" s="187" t="str">
        <f>VLOOKUP(Ruimtestaat[[#This Row],[Code]],Locaties[#All],6,FALSE)</f>
        <v>Oldenzaal</v>
      </c>
      <c r="F44" s="232"/>
      <c r="G44" s="187">
        <v>1</v>
      </c>
      <c r="H44" s="187">
        <v>21</v>
      </c>
      <c r="I44" s="232" t="s">
        <v>714</v>
      </c>
      <c r="J44" s="187">
        <v>5</v>
      </c>
      <c r="K44" s="187" t="str">
        <f>VLOOKUP(Ruimtestaat[[#This Row],[Ruimte code]],Ruimtegroepen[#All],2,FALSE)</f>
        <v>Sanitair</v>
      </c>
      <c r="L44" s="202" t="s">
        <v>108</v>
      </c>
      <c r="M44" s="187" t="s">
        <v>1206</v>
      </c>
      <c r="N44" s="200">
        <v>10.7</v>
      </c>
      <c r="O44" s="200"/>
      <c r="P44" s="231" t="str">
        <f>VLOOKUP(Ruimtestaat[[#This Row],[Ruimte code]],Ruimtegroepen[#All],4,FALSE)</f>
        <v>S  (Sanitair)</v>
      </c>
      <c r="Q44" s="201"/>
      <c r="R44" s="202">
        <v>42</v>
      </c>
      <c r="S44" s="202" t="s">
        <v>2</v>
      </c>
      <c r="T44" s="202">
        <f>IF(R44&gt;0,IF(RIGHT(Ruimtestaat[[#This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4" s="202">
        <f>IF(T44&gt;0,VLOOKUP($J44,Ruimtegroepen[],3,FALSE)*VLOOKUP($L44,Vloersoorten[],3,FALSE)*VLOOKUP($S44,Frequenties[],3,FALSE)*VLOOKUP($A44,Locaties[],3,FALSE),0)</f>
        <v>0</v>
      </c>
      <c r="V44" s="202">
        <f>Ruimtestaat[[#This Row],[Uitvoeringen werkdagen]]*Ruimtestaat[[#This Row],[Oppervlak (netto)]]</f>
        <v>2247</v>
      </c>
      <c r="W44" s="242">
        <f>IF(U44&gt;0,Ruimtestaat[[#This Row],[Prest. (m2 /jaar) werkdagen]]/Ruimtestaat[[#This Row],[Norm (m2/uur) werkdagen]],0)</f>
        <v>0</v>
      </c>
      <c r="X44" s="243">
        <f>Ruimtestaat[[#This Row],[uren / jaar werkdagen]]*Tariefsopbouw!$D$38</f>
        <v>0</v>
      </c>
      <c r="Y44" s="33"/>
      <c r="Z44" s="33">
        <f>IF(Ruimtestaat[[#This Row],[Frequentie weekend]]&gt;0,VALUE(LEFT(Y44,1))*R44,0)</f>
        <v>0</v>
      </c>
      <c r="AA44" s="33">
        <f>IF($Z44&gt;0,VLOOKUP($J44,Ruimtegroepen[],3,FALSE)*VLOOKUP($L44,Vloersoorten[],3,FALSE)*VLOOKUP($Y44,Frequenties[],3,FALSE)*VLOOKUP(#REF!,Locaties[],3,FALSE),0)</f>
        <v>0</v>
      </c>
      <c r="AB44" s="33"/>
      <c r="AC44" s="33"/>
      <c r="AD44" s="33">
        <f>Ruimtestaat[[#This Row],[uren / jaar weekend]]*Tariefsopbouw!$D$40</f>
        <v>0</v>
      </c>
      <c r="AE44" s="86">
        <f>Ruimtestaat[[#This Row],[Prest. (m2 /jaar) weekend]]+Ruimtestaat[[#This Row],[Prest. (m2 /jaar) werkdagen]]</f>
        <v>2247</v>
      </c>
      <c r="AF44" s="86">
        <f>Ruimtestaat[[#This Row],[uren / jaar weekend]]+Ruimtestaat[[#This Row],[uren / jaar werkdagen]]</f>
        <v>0</v>
      </c>
      <c r="AG44" s="87">
        <f>Ruimtestaat[[#This Row],[kosten / jaar weekend]]+Ruimtestaat[[#This Row],[kosten / jaar werkdagen]]</f>
        <v>0</v>
      </c>
    </row>
    <row r="45" spans="1:220" ht="15" customHeight="1">
      <c r="A45" s="187">
        <v>1</v>
      </c>
      <c r="B45" s="21" t="str">
        <f>VLOOKUP(Ruimtestaat[[#This Row],[Code]],Locaties[#All],2,FALSE)</f>
        <v>Praktijkonderwijs</v>
      </c>
      <c r="C45" s="231" t="str">
        <f>VLOOKUP(Ruimtestaat[[#This Row],[Code]],Locaties[#All],4,FALSE)</f>
        <v>Leliestraat 1</v>
      </c>
      <c r="D45" s="231" t="str">
        <f>VLOOKUP(Ruimtestaat[[#This Row],[Code]],Locaties[#All],5,FALSE)</f>
        <v>7572 VD</v>
      </c>
      <c r="E45" s="187" t="str">
        <f>VLOOKUP(Ruimtestaat[[#This Row],[Code]],Locaties[#All],6,FALSE)</f>
        <v>Oldenzaal</v>
      </c>
      <c r="F45" s="232"/>
      <c r="G45" s="187">
        <v>1</v>
      </c>
      <c r="H45" s="187">
        <v>22</v>
      </c>
      <c r="I45" s="232" t="s">
        <v>715</v>
      </c>
      <c r="J45" s="187">
        <v>5</v>
      </c>
      <c r="K45" s="187" t="str">
        <f>VLOOKUP(Ruimtestaat[[#This Row],[Ruimte code]],Ruimtegroepen[#All],2,FALSE)</f>
        <v>Sanitair</v>
      </c>
      <c r="L45" s="202" t="s">
        <v>108</v>
      </c>
      <c r="M45" s="187" t="s">
        <v>1206</v>
      </c>
      <c r="N45" s="200">
        <v>10.5</v>
      </c>
      <c r="O45" s="200"/>
      <c r="P45" s="231" t="str">
        <f>VLOOKUP(Ruimtestaat[[#This Row],[Ruimte code]],Ruimtegroepen[#All],4,FALSE)</f>
        <v>S  (Sanitair)</v>
      </c>
      <c r="Q45" s="201"/>
      <c r="R45" s="202">
        <v>42</v>
      </c>
      <c r="S45" s="202" t="s">
        <v>2</v>
      </c>
      <c r="T45" s="202">
        <f>IF(R45&gt;0,IF(RIGHT(Ruimtestaat[[#This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5" s="202">
        <f>IF(T45&gt;0,VLOOKUP($J45,Ruimtegroepen[],3,FALSE)*VLOOKUP($L45,Vloersoorten[],3,FALSE)*VLOOKUP($S45,Frequenties[],3,FALSE)*VLOOKUP($A45,Locaties[],3,FALSE),0)</f>
        <v>0</v>
      </c>
      <c r="V45" s="202">
        <f>Ruimtestaat[[#This Row],[Uitvoeringen werkdagen]]*Ruimtestaat[[#This Row],[Oppervlak (netto)]]</f>
        <v>2205</v>
      </c>
      <c r="W45" s="242">
        <f>IF(U45&gt;0,Ruimtestaat[[#This Row],[Prest. (m2 /jaar) werkdagen]]/Ruimtestaat[[#This Row],[Norm (m2/uur) werkdagen]],0)</f>
        <v>0</v>
      </c>
      <c r="X45" s="243">
        <f>Ruimtestaat[[#This Row],[uren / jaar werkdagen]]*Tariefsopbouw!$D$38</f>
        <v>0</v>
      </c>
      <c r="Y45" s="33"/>
      <c r="Z45" s="33">
        <f>IF(Ruimtestaat[[#This Row],[Frequentie weekend]]&gt;0,VALUE(LEFT(Y45,1))*R45,0)</f>
        <v>0</v>
      </c>
      <c r="AA45" s="33">
        <f>IF($Z45&gt;0,VLOOKUP($J45,Ruimtegroepen[],3,FALSE)*VLOOKUP($L45,Vloersoorten[],3,FALSE)*VLOOKUP($Y45,Frequenties[],3,FALSE)*VLOOKUP(#REF!,Locaties[],3,FALSE),0)</f>
        <v>0</v>
      </c>
      <c r="AB45" s="33"/>
      <c r="AC45" s="33"/>
      <c r="AD45" s="33">
        <f>Ruimtestaat[[#This Row],[uren / jaar weekend]]*Tariefsopbouw!$D$40</f>
        <v>0</v>
      </c>
      <c r="AE45" s="86">
        <f>Ruimtestaat[[#This Row],[Prest. (m2 /jaar) weekend]]+Ruimtestaat[[#This Row],[Prest. (m2 /jaar) werkdagen]]</f>
        <v>2205</v>
      </c>
      <c r="AF45" s="86">
        <f>Ruimtestaat[[#This Row],[uren / jaar weekend]]+Ruimtestaat[[#This Row],[uren / jaar werkdagen]]</f>
        <v>0</v>
      </c>
      <c r="AG45" s="87">
        <f>Ruimtestaat[[#This Row],[kosten / jaar weekend]]+Ruimtestaat[[#This Row],[kosten / jaar werkdagen]]</f>
        <v>0</v>
      </c>
      <c r="HL45" s="85"/>
    </row>
    <row r="46" spans="1:220" ht="15" customHeight="1">
      <c r="A46" s="187">
        <v>1</v>
      </c>
      <c r="B46" s="21" t="str">
        <f>VLOOKUP(Ruimtestaat[[#This Row],[Code]],Locaties[#All],2,FALSE)</f>
        <v>Praktijkonderwijs</v>
      </c>
      <c r="C46" s="231" t="str">
        <f>VLOOKUP(Ruimtestaat[[#This Row],[Code]],Locaties[#All],4,FALSE)</f>
        <v>Leliestraat 1</v>
      </c>
      <c r="D46" s="231" t="str">
        <f>VLOOKUP(Ruimtestaat[[#This Row],[Code]],Locaties[#All],5,FALSE)</f>
        <v>7572 VD</v>
      </c>
      <c r="E46" s="187" t="str">
        <f>VLOOKUP(Ruimtestaat[[#This Row],[Code]],Locaties[#All],6,FALSE)</f>
        <v>Oldenzaal</v>
      </c>
      <c r="F46" s="232"/>
      <c r="G46" s="187">
        <v>1</v>
      </c>
      <c r="H46" s="187">
        <v>25</v>
      </c>
      <c r="I46" s="232" t="s">
        <v>733</v>
      </c>
      <c r="J46" s="187">
        <v>1</v>
      </c>
      <c r="K46" s="187" t="str">
        <f>VLOOKUP(Ruimtestaat[[#This Row],[Ruimte code]],Ruimtegroepen[#All],2,FALSE)</f>
        <v>Magazijnen/bergingen</v>
      </c>
      <c r="L46" s="231" t="s">
        <v>677</v>
      </c>
      <c r="M46" s="187" t="s">
        <v>1200</v>
      </c>
      <c r="N46" s="200">
        <v>34.700000000000003</v>
      </c>
      <c r="O46" s="200"/>
      <c r="P46" s="231" t="str">
        <f>VLOOKUP(Ruimtestaat[[#This Row],[Ruimte code]],Ruimtegroepen[#All],4,FALSE)</f>
        <v>V  (Verkeersruimte)</v>
      </c>
      <c r="Q46" s="201"/>
      <c r="R46" s="202">
        <v>42</v>
      </c>
      <c r="S46" s="202" t="s">
        <v>15</v>
      </c>
      <c r="T46" s="202">
        <f>IF(R46&gt;0,IF(RIGHT(Ruimtestaat[[#This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46" s="202">
        <f>IF(T46&gt;0,VLOOKUP($J46,Ruimtegroepen[],3,FALSE)*VLOOKUP($L46,Vloersoorten[],3,FALSE)*VLOOKUP($S46,Frequenties[],3,FALSE)*VLOOKUP($A46,Locaties[],3,FALSE),0)</f>
        <v>0</v>
      </c>
      <c r="V46" s="202">
        <f>Ruimtestaat[[#This Row],[Uitvoeringen werkdagen]]*Ruimtestaat[[#This Row],[Oppervlak (netto)]]</f>
        <v>1457.4</v>
      </c>
      <c r="W46" s="242">
        <f>IF(U46&gt;0,Ruimtestaat[[#This Row],[Prest. (m2 /jaar) werkdagen]]/Ruimtestaat[[#This Row],[Norm (m2/uur) werkdagen]],0)</f>
        <v>0</v>
      </c>
      <c r="X46" s="243">
        <f>Ruimtestaat[[#This Row],[uren / jaar werkdagen]]*Tariefsopbouw!$D$38</f>
        <v>0</v>
      </c>
      <c r="Y46" s="33"/>
      <c r="Z46" s="33">
        <f>IF(Ruimtestaat[[#This Row],[Frequentie weekend]]&gt;0,VALUE(LEFT(Y46,1))*R46,0)</f>
        <v>0</v>
      </c>
      <c r="AA46" s="33">
        <f>IF($Z46&gt;0,VLOOKUP($J46,Ruimtegroepen[],3,FALSE)*VLOOKUP($L46,Vloersoorten[],3,FALSE)*VLOOKUP($Y46,Frequenties[],3,FALSE)*VLOOKUP(#REF!,Locaties[],3,FALSE),0)</f>
        <v>0</v>
      </c>
      <c r="AB46" s="33"/>
      <c r="AC46" s="33"/>
      <c r="AD46" s="33">
        <f>Ruimtestaat[[#This Row],[uren / jaar weekend]]*Tariefsopbouw!$D$40</f>
        <v>0</v>
      </c>
      <c r="AE46" s="86">
        <f>Ruimtestaat[[#This Row],[Prest. (m2 /jaar) weekend]]+Ruimtestaat[[#This Row],[Prest. (m2 /jaar) werkdagen]]</f>
        <v>1457.4</v>
      </c>
      <c r="AF46" s="86">
        <f>Ruimtestaat[[#This Row],[uren / jaar weekend]]+Ruimtestaat[[#This Row],[uren / jaar werkdagen]]</f>
        <v>0</v>
      </c>
      <c r="AG46" s="87">
        <f>Ruimtestaat[[#This Row],[kosten / jaar weekend]]+Ruimtestaat[[#This Row],[kosten / jaar werkdagen]]</f>
        <v>0</v>
      </c>
      <c r="HL46" s="85"/>
    </row>
    <row r="47" spans="1:220" ht="15" customHeight="1">
      <c r="A47" s="187">
        <v>1</v>
      </c>
      <c r="B47" s="21" t="str">
        <f>VLOOKUP(Ruimtestaat[[#This Row],[Code]],Locaties[#All],2,FALSE)</f>
        <v>Praktijkonderwijs</v>
      </c>
      <c r="C47" s="231" t="str">
        <f>VLOOKUP(Ruimtestaat[[#This Row],[Code]],Locaties[#All],4,FALSE)</f>
        <v>Leliestraat 1</v>
      </c>
      <c r="D47" s="231" t="str">
        <f>VLOOKUP(Ruimtestaat[[#This Row],[Code]],Locaties[#All],5,FALSE)</f>
        <v>7572 VD</v>
      </c>
      <c r="E47" s="187" t="str">
        <f>VLOOKUP(Ruimtestaat[[#This Row],[Code]],Locaties[#All],6,FALSE)</f>
        <v>Oldenzaal</v>
      </c>
      <c r="F47" s="232"/>
      <c r="G47" s="187">
        <v>1</v>
      </c>
      <c r="H47" s="187">
        <v>26</v>
      </c>
      <c r="I47" s="232" t="s">
        <v>734</v>
      </c>
      <c r="J47" s="187">
        <v>16</v>
      </c>
      <c r="K47" s="187" t="str">
        <f>VLOOKUP(Ruimtestaat[[#This Row],[Ruimte code]],Ruimtegroepen[#All],2,FALSE)</f>
        <v>Leslokalen/computerlokaal</v>
      </c>
      <c r="L47" s="231" t="s">
        <v>677</v>
      </c>
      <c r="M47" s="187" t="s">
        <v>1200</v>
      </c>
      <c r="N47" s="200">
        <v>14</v>
      </c>
      <c r="O47" s="200"/>
      <c r="P47" s="231" t="str">
        <f>VLOOKUP(Ruimtestaat[[#This Row],[Ruimte code]],Ruimtegroepen[#All],4,FALSE)</f>
        <v>L  (Lesruimte)</v>
      </c>
      <c r="Q47" s="201"/>
      <c r="R47" s="202">
        <v>42</v>
      </c>
      <c r="S47" s="202" t="s">
        <v>2</v>
      </c>
      <c r="T47" s="202">
        <f>IF(R47&gt;0,IF(RIGHT(Ruimtestaat[[#This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7" s="202">
        <f>IF(T47&gt;0,VLOOKUP($J47,Ruimtegroepen[],3,FALSE)*VLOOKUP($L47,Vloersoorten[],3,FALSE)*VLOOKUP($S47,Frequenties[],3,FALSE)*VLOOKUP($A47,Locaties[],3,FALSE),0)</f>
        <v>0</v>
      </c>
      <c r="V47" s="202">
        <f>Ruimtestaat[[#This Row],[Uitvoeringen werkdagen]]*Ruimtestaat[[#This Row],[Oppervlak (netto)]]</f>
        <v>2940</v>
      </c>
      <c r="W47" s="242">
        <f>IF(U47&gt;0,Ruimtestaat[[#This Row],[Prest. (m2 /jaar) werkdagen]]/Ruimtestaat[[#This Row],[Norm (m2/uur) werkdagen]],0)</f>
        <v>0</v>
      </c>
      <c r="X47" s="243">
        <f>Ruimtestaat[[#This Row],[uren / jaar werkdagen]]*Tariefsopbouw!$D$38</f>
        <v>0</v>
      </c>
      <c r="Y47" s="33"/>
      <c r="Z47" s="33">
        <f>IF(Ruimtestaat[[#This Row],[Frequentie weekend]]&gt;0,VALUE(LEFT(Y47,1))*R47,0)</f>
        <v>0</v>
      </c>
      <c r="AA47" s="33">
        <f>IF($Z47&gt;0,VLOOKUP($J47,Ruimtegroepen[],3,FALSE)*VLOOKUP($L47,Vloersoorten[],3,FALSE)*VLOOKUP($Y47,Frequenties[],3,FALSE)*VLOOKUP(#REF!,Locaties[],3,FALSE),0)</f>
        <v>0</v>
      </c>
      <c r="AB47" s="33"/>
      <c r="AC47" s="33"/>
      <c r="AD47" s="33">
        <f>Ruimtestaat[[#This Row],[uren / jaar weekend]]*Tariefsopbouw!$D$40</f>
        <v>0</v>
      </c>
      <c r="AE47" s="86">
        <f>Ruimtestaat[[#This Row],[Prest. (m2 /jaar) weekend]]+Ruimtestaat[[#This Row],[Prest. (m2 /jaar) werkdagen]]</f>
        <v>2940</v>
      </c>
      <c r="AF47" s="86">
        <f>Ruimtestaat[[#This Row],[uren / jaar weekend]]+Ruimtestaat[[#This Row],[uren / jaar werkdagen]]</f>
        <v>0</v>
      </c>
      <c r="AG47" s="87">
        <f>Ruimtestaat[[#This Row],[kosten / jaar weekend]]+Ruimtestaat[[#This Row],[kosten / jaar werkdagen]]</f>
        <v>0</v>
      </c>
      <c r="HL47" s="85"/>
    </row>
    <row r="48" spans="1:220" ht="15" customHeight="1">
      <c r="A48" s="187">
        <v>1</v>
      </c>
      <c r="B48" s="21" t="str">
        <f>VLOOKUP(Ruimtestaat[[#This Row],[Code]],Locaties[#All],2,FALSE)</f>
        <v>Praktijkonderwijs</v>
      </c>
      <c r="C48" s="231" t="str">
        <f>VLOOKUP(Ruimtestaat[[#This Row],[Code]],Locaties[#All],4,FALSE)</f>
        <v>Leliestraat 1</v>
      </c>
      <c r="D48" s="231" t="str">
        <f>VLOOKUP(Ruimtestaat[[#This Row],[Code]],Locaties[#All],5,FALSE)</f>
        <v>7572 VD</v>
      </c>
      <c r="E48" s="187" t="str">
        <f>VLOOKUP(Ruimtestaat[[#This Row],[Code]],Locaties[#All],6,FALSE)</f>
        <v>Oldenzaal</v>
      </c>
      <c r="F48" s="232"/>
      <c r="G48" s="187">
        <v>1</v>
      </c>
      <c r="H48" s="187">
        <v>27</v>
      </c>
      <c r="I48" s="232" t="s">
        <v>476</v>
      </c>
      <c r="J48" s="187">
        <v>4</v>
      </c>
      <c r="K48" s="187" t="str">
        <f>VLOOKUP(Ruimtestaat[[#This Row],[Ruimte code]],Ruimtegroepen[#All],2,FALSE)</f>
        <v>Vergader/spreekkamers</v>
      </c>
      <c r="L48" s="231" t="s">
        <v>677</v>
      </c>
      <c r="M48" s="187" t="s">
        <v>1200</v>
      </c>
      <c r="N48" s="200">
        <v>14.2</v>
      </c>
      <c r="O48" s="200"/>
      <c r="P48" s="231" t="str">
        <f>VLOOKUP(Ruimtestaat[[#This Row],[Ruimte code]],Ruimtegroepen[#All],4,FALSE)</f>
        <v>B  (Bureauruimte)</v>
      </c>
      <c r="Q48" s="201"/>
      <c r="R48" s="202">
        <v>42</v>
      </c>
      <c r="S48" s="202" t="s">
        <v>2</v>
      </c>
      <c r="T48" s="202">
        <f>IF(R48&gt;0,IF(RIGHT(Ruimtestaat[[#This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8" s="202">
        <f>IF(T48&gt;0,VLOOKUP($J48,Ruimtegroepen[],3,FALSE)*VLOOKUP($L48,Vloersoorten[],3,FALSE)*VLOOKUP($S48,Frequenties[],3,FALSE)*VLOOKUP($A48,Locaties[],3,FALSE),0)</f>
        <v>0</v>
      </c>
      <c r="V48" s="202">
        <f>Ruimtestaat[[#This Row],[Uitvoeringen werkdagen]]*Ruimtestaat[[#This Row],[Oppervlak (netto)]]</f>
        <v>2982</v>
      </c>
      <c r="W48" s="242">
        <f>IF(U48&gt;0,Ruimtestaat[[#This Row],[Prest. (m2 /jaar) werkdagen]]/Ruimtestaat[[#This Row],[Norm (m2/uur) werkdagen]],0)</f>
        <v>0</v>
      </c>
      <c r="X48" s="243">
        <f>Ruimtestaat[[#This Row],[uren / jaar werkdagen]]*Tariefsopbouw!$D$38</f>
        <v>0</v>
      </c>
      <c r="Y48" s="33"/>
      <c r="Z48" s="33">
        <f>IF(Ruimtestaat[[#This Row],[Frequentie weekend]]&gt;0,VALUE(LEFT(Y48,1))*R48,0)</f>
        <v>0</v>
      </c>
      <c r="AA48" s="33">
        <f>IF($Z48&gt;0,VLOOKUP($J48,Ruimtegroepen[],3,FALSE)*VLOOKUP($L48,Vloersoorten[],3,FALSE)*VLOOKUP($Y48,Frequenties[],3,FALSE)*VLOOKUP(#REF!,Locaties[],3,FALSE),0)</f>
        <v>0</v>
      </c>
      <c r="AB48" s="33"/>
      <c r="AC48" s="33"/>
      <c r="AD48" s="33">
        <f>Ruimtestaat[[#This Row],[uren / jaar weekend]]*Tariefsopbouw!$D$40</f>
        <v>0</v>
      </c>
      <c r="AE48" s="86">
        <f>Ruimtestaat[[#This Row],[Prest. (m2 /jaar) weekend]]+Ruimtestaat[[#This Row],[Prest. (m2 /jaar) werkdagen]]</f>
        <v>2982</v>
      </c>
      <c r="AF48" s="86">
        <f>Ruimtestaat[[#This Row],[uren / jaar weekend]]+Ruimtestaat[[#This Row],[uren / jaar werkdagen]]</f>
        <v>0</v>
      </c>
      <c r="AG48" s="87">
        <f>Ruimtestaat[[#This Row],[kosten / jaar weekend]]+Ruimtestaat[[#This Row],[kosten / jaar werkdagen]]</f>
        <v>0</v>
      </c>
      <c r="HL48" s="85"/>
    </row>
    <row r="49" spans="1:220" ht="15" customHeight="1">
      <c r="A49" s="187">
        <v>1</v>
      </c>
      <c r="B49" s="21" t="str">
        <f>VLOOKUP(Ruimtestaat[[#This Row],[Code]],Locaties[#All],2,FALSE)</f>
        <v>Praktijkonderwijs</v>
      </c>
      <c r="C49" s="231" t="str">
        <f>VLOOKUP(Ruimtestaat[[#This Row],[Code]],Locaties[#All],4,FALSE)</f>
        <v>Leliestraat 1</v>
      </c>
      <c r="D49" s="231" t="str">
        <f>VLOOKUP(Ruimtestaat[[#This Row],[Code]],Locaties[#All],5,FALSE)</f>
        <v>7572 VD</v>
      </c>
      <c r="E49" s="187" t="str">
        <f>VLOOKUP(Ruimtestaat[[#This Row],[Code]],Locaties[#All],6,FALSE)</f>
        <v>Oldenzaal</v>
      </c>
      <c r="F49" s="232"/>
      <c r="G49" s="187">
        <v>1</v>
      </c>
      <c r="H49" s="187">
        <v>28</v>
      </c>
      <c r="I49" s="232" t="s">
        <v>628</v>
      </c>
      <c r="J49" s="187">
        <v>2</v>
      </c>
      <c r="K49" s="187" t="str">
        <f>VLOOKUP(Ruimtestaat[[#This Row],[Ruimte code]],Ruimtegroepen[#All],2,FALSE)</f>
        <v>Kantoren/kantoortuin</v>
      </c>
      <c r="L49" s="231" t="s">
        <v>677</v>
      </c>
      <c r="M49" s="187" t="s">
        <v>1200</v>
      </c>
      <c r="N49" s="200">
        <v>12.6</v>
      </c>
      <c r="O49" s="200"/>
      <c r="P49" s="231" t="str">
        <f>VLOOKUP(Ruimtestaat[[#This Row],[Ruimte code]],Ruimtegroepen[#All],4,FALSE)</f>
        <v>B  (Bureauruimte)</v>
      </c>
      <c r="Q49" s="201"/>
      <c r="R49" s="202">
        <v>42</v>
      </c>
      <c r="S49" s="202" t="s">
        <v>2</v>
      </c>
      <c r="T49" s="202">
        <f>IF(R49&gt;0,IF(RIGHT(Ruimtestaat[[#This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9" s="202">
        <f>IF(T49&gt;0,VLOOKUP($J49,Ruimtegroepen[],3,FALSE)*VLOOKUP($L49,Vloersoorten[],3,FALSE)*VLOOKUP($S49,Frequenties[],3,FALSE)*VLOOKUP($A49,Locaties[],3,FALSE),0)</f>
        <v>0</v>
      </c>
      <c r="V49" s="202">
        <f>Ruimtestaat[[#This Row],[Uitvoeringen werkdagen]]*Ruimtestaat[[#This Row],[Oppervlak (netto)]]</f>
        <v>2646</v>
      </c>
      <c r="W49" s="242">
        <f>IF(U49&gt;0,Ruimtestaat[[#This Row],[Prest. (m2 /jaar) werkdagen]]/Ruimtestaat[[#This Row],[Norm (m2/uur) werkdagen]],0)</f>
        <v>0</v>
      </c>
      <c r="X49" s="243">
        <f>Ruimtestaat[[#This Row],[uren / jaar werkdagen]]*Tariefsopbouw!$D$38</f>
        <v>0</v>
      </c>
      <c r="Y49" s="33"/>
      <c r="Z49" s="33">
        <f>IF(Ruimtestaat[[#This Row],[Frequentie weekend]]&gt;0,VALUE(LEFT(Y49,1))*R49,0)</f>
        <v>0</v>
      </c>
      <c r="AA49" s="33">
        <f>IF($Z49&gt;0,VLOOKUP($J49,Ruimtegroepen[],3,FALSE)*VLOOKUP($L49,Vloersoorten[],3,FALSE)*VLOOKUP($Y49,Frequenties[],3,FALSE)*VLOOKUP(#REF!,Locaties[],3,FALSE),0)</f>
        <v>0</v>
      </c>
      <c r="AB49" s="33"/>
      <c r="AC49" s="33"/>
      <c r="AD49" s="33">
        <f>Ruimtestaat[[#This Row],[uren / jaar weekend]]*Tariefsopbouw!$D$40</f>
        <v>0</v>
      </c>
      <c r="AE49" s="86">
        <f>Ruimtestaat[[#This Row],[Prest. (m2 /jaar) weekend]]+Ruimtestaat[[#This Row],[Prest. (m2 /jaar) werkdagen]]</f>
        <v>2646</v>
      </c>
      <c r="AF49" s="86">
        <f>Ruimtestaat[[#This Row],[uren / jaar weekend]]+Ruimtestaat[[#This Row],[uren / jaar werkdagen]]</f>
        <v>0</v>
      </c>
      <c r="AG49" s="87">
        <f>Ruimtestaat[[#This Row],[kosten / jaar weekend]]+Ruimtestaat[[#This Row],[kosten / jaar werkdagen]]</f>
        <v>0</v>
      </c>
      <c r="HL49" s="85"/>
    </row>
    <row r="50" spans="1:220" ht="15" customHeight="1">
      <c r="A50" s="187">
        <v>1</v>
      </c>
      <c r="B50" s="21" t="str">
        <f>VLOOKUP(Ruimtestaat[[#This Row],[Code]],Locaties[#All],2,FALSE)</f>
        <v>Praktijkonderwijs</v>
      </c>
      <c r="C50" s="231" t="str">
        <f>VLOOKUP(Ruimtestaat[[#This Row],[Code]],Locaties[#All],4,FALSE)</f>
        <v>Leliestraat 1</v>
      </c>
      <c r="D50" s="231" t="str">
        <f>VLOOKUP(Ruimtestaat[[#This Row],[Code]],Locaties[#All],5,FALSE)</f>
        <v>7572 VD</v>
      </c>
      <c r="E50" s="187" t="str">
        <f>VLOOKUP(Ruimtestaat[[#This Row],[Code]],Locaties[#All],6,FALSE)</f>
        <v>Oldenzaal</v>
      </c>
      <c r="F50" s="232"/>
      <c r="G50" s="187"/>
      <c r="H50" s="187">
        <v>29</v>
      </c>
      <c r="I50" s="232" t="s">
        <v>735</v>
      </c>
      <c r="J50" s="187">
        <v>20</v>
      </c>
      <c r="K50" s="187" t="str">
        <f>VLOOKUP(Ruimtestaat[[#This Row],[Ruimte code]],Ruimtegroepen[#All],2,FALSE)</f>
        <v>Niet in onderhoud</v>
      </c>
      <c r="L50" s="202" t="s">
        <v>108</v>
      </c>
      <c r="M50" s="187" t="s">
        <v>1209</v>
      </c>
      <c r="N50" s="200"/>
      <c r="O50" s="200">
        <v>30</v>
      </c>
      <c r="P50" s="231" t="str">
        <f>VLOOKUP(Ruimtestaat[[#This Row],[Ruimte code]],Ruimtegroepen[#All],4,FALSE)</f>
        <v>V  (Verkeersruimte)</v>
      </c>
      <c r="Q50" s="201"/>
      <c r="R50" s="202"/>
      <c r="S50" s="202"/>
      <c r="T50" s="202">
        <f>IF(R50&gt;0,IF(RIGHT(Ruimtestaat[[#This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50" s="202">
        <f>IF(T50&gt;0,VLOOKUP($J50,Ruimtegroepen[],3,FALSE)*VLOOKUP($L50,Vloersoorten[],3,FALSE)*VLOOKUP($S50,Frequenties[],3,FALSE)*VLOOKUP($A50,Locaties[],3,FALSE),0)</f>
        <v>0</v>
      </c>
      <c r="V50" s="202">
        <f>Ruimtestaat[[#This Row],[Uitvoeringen werkdagen]]*Ruimtestaat[[#This Row],[Oppervlak (netto)]]</f>
        <v>0</v>
      </c>
      <c r="W50" s="242">
        <f>IF(U50&gt;0,Ruimtestaat[[#This Row],[Prest. (m2 /jaar) werkdagen]]/Ruimtestaat[[#This Row],[Norm (m2/uur) werkdagen]],0)</f>
        <v>0</v>
      </c>
      <c r="X50" s="243">
        <f>Ruimtestaat[[#This Row],[uren / jaar werkdagen]]*Tariefsopbouw!$D$38</f>
        <v>0</v>
      </c>
      <c r="Y50" s="33"/>
      <c r="Z50" s="33">
        <f>IF(Ruimtestaat[[#This Row],[Frequentie weekend]]&gt;0,VALUE(LEFT(Y50,1))*R50,0)</f>
        <v>0</v>
      </c>
      <c r="AA50" s="33">
        <f>IF($Z50&gt;0,VLOOKUP($J50,Ruimtegroepen[],3,FALSE)*VLOOKUP($L50,Vloersoorten[],3,FALSE)*VLOOKUP($Y50,Frequenties[],3,FALSE)*VLOOKUP(#REF!,Locaties[],3,FALSE),0)</f>
        <v>0</v>
      </c>
      <c r="AB50" s="33"/>
      <c r="AC50" s="33"/>
      <c r="AD50" s="33">
        <f>Ruimtestaat[[#This Row],[uren / jaar weekend]]*Tariefsopbouw!$D$40</f>
        <v>0</v>
      </c>
      <c r="AE50" s="86">
        <f>Ruimtestaat[[#This Row],[Prest. (m2 /jaar) weekend]]+Ruimtestaat[[#This Row],[Prest. (m2 /jaar) werkdagen]]</f>
        <v>0</v>
      </c>
      <c r="AF50" s="86">
        <f>Ruimtestaat[[#This Row],[uren / jaar weekend]]+Ruimtestaat[[#This Row],[uren / jaar werkdagen]]</f>
        <v>0</v>
      </c>
      <c r="AG50" s="87">
        <f>Ruimtestaat[[#This Row],[kosten / jaar weekend]]+Ruimtestaat[[#This Row],[kosten / jaar werkdagen]]</f>
        <v>0</v>
      </c>
      <c r="HL50" s="85"/>
    </row>
    <row r="51" spans="1:220" ht="15" customHeight="1">
      <c r="A51" s="187">
        <v>1</v>
      </c>
      <c r="B51" s="21" t="str">
        <f>VLOOKUP(Ruimtestaat[[#This Row],[Code]],Locaties[#All],2,FALSE)</f>
        <v>Praktijkonderwijs</v>
      </c>
      <c r="C51" s="231" t="str">
        <f>VLOOKUP(Ruimtestaat[[#This Row],[Code]],Locaties[#All],4,FALSE)</f>
        <v>Leliestraat 1</v>
      </c>
      <c r="D51" s="231" t="str">
        <f>VLOOKUP(Ruimtestaat[[#This Row],[Code]],Locaties[#All],5,FALSE)</f>
        <v>7572 VD</v>
      </c>
      <c r="E51" s="187" t="str">
        <f>VLOOKUP(Ruimtestaat[[#This Row],[Code]],Locaties[#All],6,FALSE)</f>
        <v>Oldenzaal</v>
      </c>
      <c r="F51" s="232"/>
      <c r="G51" s="187">
        <v>1</v>
      </c>
      <c r="H51" s="187">
        <v>30</v>
      </c>
      <c r="I51" s="232" t="s">
        <v>736</v>
      </c>
      <c r="J51" s="245">
        <v>16</v>
      </c>
      <c r="K51" s="245" t="str">
        <f>VLOOKUP(Ruimtestaat[[#This Row],[Ruimte code]],Ruimtegroepen[#All],2,FALSE)</f>
        <v>Leslokalen/computerlokaal</v>
      </c>
      <c r="L51" s="231" t="s">
        <v>677</v>
      </c>
      <c r="M51" s="187" t="s">
        <v>1200</v>
      </c>
      <c r="N51" s="200">
        <v>30</v>
      </c>
      <c r="O51" s="200"/>
      <c r="P51" s="231" t="str">
        <f>VLOOKUP(Ruimtestaat[[#This Row],[Ruimte code]],Ruimtegroepen[#All],4,FALSE)</f>
        <v>L  (Lesruimte)</v>
      </c>
      <c r="Q51" s="201"/>
      <c r="R51" s="202">
        <v>42</v>
      </c>
      <c r="S51" s="202" t="s">
        <v>2</v>
      </c>
      <c r="T51" s="202">
        <f>IF(R51&gt;0,IF(RIGHT(Ruimtestaat[[#This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1" s="202">
        <f>IF(T51&gt;0,VLOOKUP($J51,Ruimtegroepen[],3,FALSE)*VLOOKUP($L51,Vloersoorten[],3,FALSE)*VLOOKUP($S51,Frequenties[],3,FALSE)*VLOOKUP($A51,Locaties[],3,FALSE),0)</f>
        <v>0</v>
      </c>
      <c r="V51" s="202">
        <f>Ruimtestaat[[#This Row],[Uitvoeringen werkdagen]]*Ruimtestaat[[#This Row],[Oppervlak (netto)]]</f>
        <v>6300</v>
      </c>
      <c r="W51" s="242">
        <f>IF(U51&gt;0,Ruimtestaat[[#This Row],[Prest. (m2 /jaar) werkdagen]]/Ruimtestaat[[#This Row],[Norm (m2/uur) werkdagen]],0)</f>
        <v>0</v>
      </c>
      <c r="X51" s="243">
        <f>Ruimtestaat[[#This Row],[uren / jaar werkdagen]]*Tariefsopbouw!$D$38</f>
        <v>0</v>
      </c>
      <c r="Y51" s="33"/>
      <c r="Z51" s="33">
        <f>IF(Ruimtestaat[[#This Row],[Frequentie weekend]]&gt;0,VALUE(LEFT(Y51,1))*R51,0)</f>
        <v>0</v>
      </c>
      <c r="AA51" s="33">
        <f>IF($Z51&gt;0,VLOOKUP($J51,Ruimtegroepen[],3,FALSE)*VLOOKUP($L51,Vloersoorten[],3,FALSE)*VLOOKUP($Y51,Frequenties[],3,FALSE)*VLOOKUP(#REF!,Locaties[],3,FALSE),0)</f>
        <v>0</v>
      </c>
      <c r="AB51" s="33"/>
      <c r="AC51" s="33"/>
      <c r="AD51" s="33">
        <f>Ruimtestaat[[#This Row],[uren / jaar weekend]]*Tariefsopbouw!$D$40</f>
        <v>0</v>
      </c>
      <c r="AE51" s="86">
        <f>Ruimtestaat[[#This Row],[Prest. (m2 /jaar) weekend]]+Ruimtestaat[[#This Row],[Prest. (m2 /jaar) werkdagen]]</f>
        <v>6300</v>
      </c>
      <c r="AF51" s="86">
        <f>Ruimtestaat[[#This Row],[uren / jaar weekend]]+Ruimtestaat[[#This Row],[uren / jaar werkdagen]]</f>
        <v>0</v>
      </c>
      <c r="AG51" s="87">
        <f>Ruimtestaat[[#This Row],[kosten / jaar weekend]]+Ruimtestaat[[#This Row],[kosten / jaar werkdagen]]</f>
        <v>0</v>
      </c>
      <c r="HL51" s="85"/>
    </row>
    <row r="52" spans="1:220" ht="15" customHeight="1">
      <c r="A52" s="187">
        <v>1</v>
      </c>
      <c r="B52" s="21" t="str">
        <f>VLOOKUP(Ruimtestaat[[#This Row],[Code]],Locaties[#All],2,FALSE)</f>
        <v>Praktijkonderwijs</v>
      </c>
      <c r="C52" s="231" t="str">
        <f>VLOOKUP(Ruimtestaat[[#This Row],[Code]],Locaties[#All],4,FALSE)</f>
        <v>Leliestraat 1</v>
      </c>
      <c r="D52" s="231" t="str">
        <f>VLOOKUP(Ruimtestaat[[#This Row],[Code]],Locaties[#All],5,FALSE)</f>
        <v>7572 VD</v>
      </c>
      <c r="E52" s="187" t="str">
        <f>VLOOKUP(Ruimtestaat[[#This Row],[Code]],Locaties[#All],6,FALSE)</f>
        <v>Oldenzaal</v>
      </c>
      <c r="F52" s="232"/>
      <c r="G52" s="187">
        <v>1</v>
      </c>
      <c r="H52" s="187">
        <v>31</v>
      </c>
      <c r="I52" s="232" t="s">
        <v>737</v>
      </c>
      <c r="J52" s="231">
        <v>16</v>
      </c>
      <c r="K52" s="231" t="str">
        <f>VLOOKUP(Ruimtestaat[[#This Row],[Ruimte code]],Ruimtegroepen[#All],2,FALSE)</f>
        <v>Leslokalen/computerlokaal</v>
      </c>
      <c r="L52" s="231" t="s">
        <v>677</v>
      </c>
      <c r="M52" s="187" t="s">
        <v>1200</v>
      </c>
      <c r="N52" s="200">
        <v>46.1</v>
      </c>
      <c r="O52" s="200"/>
      <c r="P52" s="231" t="str">
        <f>VLOOKUP(Ruimtestaat[[#This Row],[Ruimte code]],Ruimtegroepen[#All],4,FALSE)</f>
        <v>L  (Lesruimte)</v>
      </c>
      <c r="Q52" s="201"/>
      <c r="R52" s="202">
        <v>42</v>
      </c>
      <c r="S52" s="202" t="s">
        <v>2</v>
      </c>
      <c r="T52" s="202">
        <f>IF(R52&gt;0,IF(RIGHT(Ruimtestaat[[#This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2" s="202">
        <f>IF(T52&gt;0,VLOOKUP($J52,Ruimtegroepen[],3,FALSE)*VLOOKUP($L52,Vloersoorten[],3,FALSE)*VLOOKUP($S52,Frequenties[],3,FALSE)*VLOOKUP($A52,Locaties[],3,FALSE),0)</f>
        <v>0</v>
      </c>
      <c r="V52" s="202">
        <f>Ruimtestaat[[#This Row],[Uitvoeringen werkdagen]]*Ruimtestaat[[#This Row],[Oppervlak (netto)]]</f>
        <v>9681</v>
      </c>
      <c r="W52" s="242">
        <f>IF(U52&gt;0,Ruimtestaat[[#This Row],[Prest. (m2 /jaar) werkdagen]]/Ruimtestaat[[#This Row],[Norm (m2/uur) werkdagen]],0)</f>
        <v>0</v>
      </c>
      <c r="X52" s="243">
        <f>Ruimtestaat[[#This Row],[uren / jaar werkdagen]]*Tariefsopbouw!$D$38</f>
        <v>0</v>
      </c>
      <c r="Y52" s="33"/>
      <c r="Z52" s="33">
        <f>IF(Ruimtestaat[[#This Row],[Frequentie weekend]]&gt;0,VALUE(LEFT(Y52,1))*R52,0)</f>
        <v>0</v>
      </c>
      <c r="AA52" s="33">
        <f>IF($Z52&gt;0,VLOOKUP($J52,Ruimtegroepen[],3,FALSE)*VLOOKUP($L52,Vloersoorten[],3,FALSE)*VLOOKUP($Y52,Frequenties[],3,FALSE)*VLOOKUP(#REF!,Locaties[],3,FALSE),0)</f>
        <v>0</v>
      </c>
      <c r="AB52" s="33"/>
      <c r="AC52" s="33"/>
      <c r="AD52" s="33">
        <f>Ruimtestaat[[#This Row],[uren / jaar weekend]]*Tariefsopbouw!$D$40</f>
        <v>0</v>
      </c>
      <c r="AE52" s="86">
        <f>Ruimtestaat[[#This Row],[Prest. (m2 /jaar) weekend]]+Ruimtestaat[[#This Row],[Prest. (m2 /jaar) werkdagen]]</f>
        <v>9681</v>
      </c>
      <c r="AF52" s="86">
        <f>Ruimtestaat[[#This Row],[uren / jaar weekend]]+Ruimtestaat[[#This Row],[uren / jaar werkdagen]]</f>
        <v>0</v>
      </c>
      <c r="AG52" s="87">
        <f>Ruimtestaat[[#This Row],[kosten / jaar weekend]]+Ruimtestaat[[#This Row],[kosten / jaar werkdagen]]</f>
        <v>0</v>
      </c>
      <c r="HL52" s="85"/>
    </row>
    <row r="53" spans="1:220" ht="15" customHeight="1">
      <c r="A53" s="187">
        <v>1</v>
      </c>
      <c r="B53" s="21" t="str">
        <f>VLOOKUP(Ruimtestaat[[#This Row],[Code]],Locaties[#All],2,FALSE)</f>
        <v>Praktijkonderwijs</v>
      </c>
      <c r="C53" s="231" t="str">
        <f>VLOOKUP(Ruimtestaat[[#This Row],[Code]],Locaties[#All],4,FALSE)</f>
        <v>Leliestraat 1</v>
      </c>
      <c r="D53" s="231" t="str">
        <f>VLOOKUP(Ruimtestaat[[#This Row],[Code]],Locaties[#All],5,FALSE)</f>
        <v>7572 VD</v>
      </c>
      <c r="E53" s="187" t="str">
        <f>VLOOKUP(Ruimtestaat[[#This Row],[Code]],Locaties[#All],6,FALSE)</f>
        <v>Oldenzaal</v>
      </c>
      <c r="F53" s="232"/>
      <c r="G53" s="187">
        <v>1</v>
      </c>
      <c r="H53" s="187">
        <v>32</v>
      </c>
      <c r="I53" s="232" t="s">
        <v>737</v>
      </c>
      <c r="J53" s="187">
        <v>16</v>
      </c>
      <c r="K53" s="187" t="str">
        <f>VLOOKUP(Ruimtestaat[[#This Row],[Ruimte code]],Ruimtegroepen[#All],2,FALSE)</f>
        <v>Leslokalen/computerlokaal</v>
      </c>
      <c r="L53" s="231" t="s">
        <v>677</v>
      </c>
      <c r="M53" s="187" t="s">
        <v>1200</v>
      </c>
      <c r="N53" s="200">
        <v>46.1</v>
      </c>
      <c r="O53" s="200"/>
      <c r="P53" s="231" t="str">
        <f>VLOOKUP(Ruimtestaat[[#This Row],[Ruimte code]],Ruimtegroepen[#All],4,FALSE)</f>
        <v>L  (Lesruimte)</v>
      </c>
      <c r="Q53" s="201"/>
      <c r="R53" s="202">
        <v>42</v>
      </c>
      <c r="S53" s="202" t="s">
        <v>2</v>
      </c>
      <c r="T53" s="202">
        <f>IF(R53&gt;0,IF(RIGHT(Ruimtestaat[[#This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3" s="202">
        <f>IF(T53&gt;0,VLOOKUP($J53,Ruimtegroepen[],3,FALSE)*VLOOKUP($L53,Vloersoorten[],3,FALSE)*VLOOKUP($S53,Frequenties[],3,FALSE)*VLOOKUP($A53,Locaties[],3,FALSE),0)</f>
        <v>0</v>
      </c>
      <c r="V53" s="202">
        <f>Ruimtestaat[[#This Row],[Uitvoeringen werkdagen]]*Ruimtestaat[[#This Row],[Oppervlak (netto)]]</f>
        <v>9681</v>
      </c>
      <c r="W53" s="242">
        <f>IF(U53&gt;0,Ruimtestaat[[#This Row],[Prest. (m2 /jaar) werkdagen]]/Ruimtestaat[[#This Row],[Norm (m2/uur) werkdagen]],0)</f>
        <v>0</v>
      </c>
      <c r="X53" s="243">
        <f>Ruimtestaat[[#This Row],[uren / jaar werkdagen]]*Tariefsopbouw!$D$38</f>
        <v>0</v>
      </c>
      <c r="Y53" s="33"/>
      <c r="Z53" s="33">
        <f>IF(Ruimtestaat[[#This Row],[Frequentie weekend]]&gt;0,VALUE(LEFT(Y53,1))*R53,0)</f>
        <v>0</v>
      </c>
      <c r="AA53" s="33">
        <f>IF($Z53&gt;0,VLOOKUP($J53,Ruimtegroepen[],3,FALSE)*VLOOKUP($L53,Vloersoorten[],3,FALSE)*VLOOKUP($Y53,Frequenties[],3,FALSE)*VLOOKUP(#REF!,Locaties[],3,FALSE),0)</f>
        <v>0</v>
      </c>
      <c r="AB53" s="33"/>
      <c r="AC53" s="33"/>
      <c r="AD53" s="33">
        <f>Ruimtestaat[[#This Row],[uren / jaar weekend]]*Tariefsopbouw!$D$40</f>
        <v>0</v>
      </c>
      <c r="AE53" s="86">
        <f>Ruimtestaat[[#This Row],[Prest. (m2 /jaar) weekend]]+Ruimtestaat[[#This Row],[Prest. (m2 /jaar) werkdagen]]</f>
        <v>9681</v>
      </c>
      <c r="AF53" s="86">
        <f>Ruimtestaat[[#This Row],[uren / jaar weekend]]+Ruimtestaat[[#This Row],[uren / jaar werkdagen]]</f>
        <v>0</v>
      </c>
      <c r="AG53" s="87">
        <f>Ruimtestaat[[#This Row],[kosten / jaar weekend]]+Ruimtestaat[[#This Row],[kosten / jaar werkdagen]]</f>
        <v>0</v>
      </c>
      <c r="HL53" s="85"/>
    </row>
    <row r="54" spans="1:220" ht="15" customHeight="1">
      <c r="A54" s="187">
        <v>1</v>
      </c>
      <c r="B54" s="21" t="str">
        <f>VLOOKUP(Ruimtestaat[[#This Row],[Code]],Locaties[#All],2,FALSE)</f>
        <v>Praktijkonderwijs</v>
      </c>
      <c r="C54" s="231" t="str">
        <f>VLOOKUP(Ruimtestaat[[#This Row],[Code]],Locaties[#All],4,FALSE)</f>
        <v>Leliestraat 1</v>
      </c>
      <c r="D54" s="231" t="str">
        <f>VLOOKUP(Ruimtestaat[[#This Row],[Code]],Locaties[#All],5,FALSE)</f>
        <v>7572 VD</v>
      </c>
      <c r="E54" s="187" t="str">
        <f>VLOOKUP(Ruimtestaat[[#This Row],[Code]],Locaties[#All],6,FALSE)</f>
        <v>Oldenzaal</v>
      </c>
      <c r="F54" s="232"/>
      <c r="G54" s="187">
        <v>1</v>
      </c>
      <c r="H54" s="187">
        <v>33</v>
      </c>
      <c r="I54" s="232" t="s">
        <v>737</v>
      </c>
      <c r="J54" s="187">
        <v>16</v>
      </c>
      <c r="K54" s="187" t="str">
        <f>VLOOKUP(Ruimtestaat[[#This Row],[Ruimte code]],Ruimtegroepen[#All],2,FALSE)</f>
        <v>Leslokalen/computerlokaal</v>
      </c>
      <c r="L54" s="231" t="s">
        <v>677</v>
      </c>
      <c r="M54" s="187" t="s">
        <v>1200</v>
      </c>
      <c r="N54" s="200">
        <v>46.1</v>
      </c>
      <c r="O54" s="200"/>
      <c r="P54" s="231" t="str">
        <f>VLOOKUP(Ruimtestaat[[#This Row],[Ruimte code]],Ruimtegroepen[#All],4,FALSE)</f>
        <v>L  (Lesruimte)</v>
      </c>
      <c r="Q54" s="201"/>
      <c r="R54" s="202">
        <v>42</v>
      </c>
      <c r="S54" s="202" t="s">
        <v>2</v>
      </c>
      <c r="T54" s="202">
        <f>IF(R54&gt;0,IF(RIGHT(Ruimtestaat[[#This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4" s="202">
        <f>IF(T54&gt;0,VLOOKUP($J54,Ruimtegroepen[],3,FALSE)*VLOOKUP($L54,Vloersoorten[],3,FALSE)*VLOOKUP($S54,Frequenties[],3,FALSE)*VLOOKUP($A54,Locaties[],3,FALSE),0)</f>
        <v>0</v>
      </c>
      <c r="V54" s="202">
        <f>Ruimtestaat[[#This Row],[Uitvoeringen werkdagen]]*Ruimtestaat[[#This Row],[Oppervlak (netto)]]</f>
        <v>9681</v>
      </c>
      <c r="W54" s="242">
        <f>IF(U54&gt;0,Ruimtestaat[[#This Row],[Prest. (m2 /jaar) werkdagen]]/Ruimtestaat[[#This Row],[Norm (m2/uur) werkdagen]],0)</f>
        <v>0</v>
      </c>
      <c r="X54" s="243">
        <f>Ruimtestaat[[#This Row],[uren / jaar werkdagen]]*Tariefsopbouw!$D$38</f>
        <v>0</v>
      </c>
      <c r="Y54" s="33"/>
      <c r="Z54" s="33">
        <f>IF(Ruimtestaat[[#This Row],[Frequentie weekend]]&gt;0,VALUE(LEFT(Y54,1))*R54,0)</f>
        <v>0</v>
      </c>
      <c r="AA54" s="33">
        <f>IF($Z54&gt;0,VLOOKUP($J54,Ruimtegroepen[],3,FALSE)*VLOOKUP($L54,Vloersoorten[],3,FALSE)*VLOOKUP($Y54,Frequenties[],3,FALSE)*VLOOKUP(#REF!,Locaties[],3,FALSE),0)</f>
        <v>0</v>
      </c>
      <c r="AB54" s="33"/>
      <c r="AC54" s="33"/>
      <c r="AD54" s="33">
        <f>Ruimtestaat[[#This Row],[uren / jaar weekend]]*Tariefsopbouw!$D$40</f>
        <v>0</v>
      </c>
      <c r="AE54" s="86">
        <f>Ruimtestaat[[#This Row],[Prest. (m2 /jaar) weekend]]+Ruimtestaat[[#This Row],[Prest. (m2 /jaar) werkdagen]]</f>
        <v>9681</v>
      </c>
      <c r="AF54" s="86">
        <f>Ruimtestaat[[#This Row],[uren / jaar weekend]]+Ruimtestaat[[#This Row],[uren / jaar werkdagen]]</f>
        <v>0</v>
      </c>
      <c r="AG54" s="87">
        <f>Ruimtestaat[[#This Row],[kosten / jaar weekend]]+Ruimtestaat[[#This Row],[kosten / jaar werkdagen]]</f>
        <v>0</v>
      </c>
      <c r="HL54" s="85"/>
    </row>
    <row r="55" spans="1:220" ht="15" customHeight="1">
      <c r="A55" s="187">
        <v>1</v>
      </c>
      <c r="B55" s="21" t="str">
        <f>VLOOKUP(Ruimtestaat[[#This Row],[Code]],Locaties[#All],2,FALSE)</f>
        <v>Praktijkonderwijs</v>
      </c>
      <c r="C55" s="231" t="str">
        <f>VLOOKUP(Ruimtestaat[[#This Row],[Code]],Locaties[#All],4,FALSE)</f>
        <v>Leliestraat 1</v>
      </c>
      <c r="D55" s="231" t="str">
        <f>VLOOKUP(Ruimtestaat[[#This Row],[Code]],Locaties[#All],5,FALSE)</f>
        <v>7572 VD</v>
      </c>
      <c r="E55" s="187" t="str">
        <f>VLOOKUP(Ruimtestaat[[#This Row],[Code]],Locaties[#All],6,FALSE)</f>
        <v>Oldenzaal</v>
      </c>
      <c r="F55" s="232"/>
      <c r="G55" s="187">
        <v>1</v>
      </c>
      <c r="H55" s="187">
        <v>34</v>
      </c>
      <c r="I55" s="232" t="s">
        <v>737</v>
      </c>
      <c r="J55" s="187">
        <v>16</v>
      </c>
      <c r="K55" s="187" t="str">
        <f>VLOOKUP(Ruimtestaat[[#This Row],[Ruimte code]],Ruimtegroepen[#All],2,FALSE)</f>
        <v>Leslokalen/computerlokaal</v>
      </c>
      <c r="L55" s="231" t="s">
        <v>677</v>
      </c>
      <c r="M55" s="187" t="s">
        <v>1200</v>
      </c>
      <c r="N55" s="200">
        <v>46.1</v>
      </c>
      <c r="O55" s="200"/>
      <c r="P55" s="231" t="str">
        <f>VLOOKUP(Ruimtestaat[[#This Row],[Ruimte code]],Ruimtegroepen[#All],4,FALSE)</f>
        <v>L  (Lesruimte)</v>
      </c>
      <c r="Q55" s="201"/>
      <c r="R55" s="202">
        <v>42</v>
      </c>
      <c r="S55" s="202" t="s">
        <v>2</v>
      </c>
      <c r="T55" s="202">
        <f>IF(R55&gt;0,IF(RIGHT(Ruimtestaat[[#This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5" s="202">
        <f>IF(T55&gt;0,VLOOKUP($J55,Ruimtegroepen[],3,FALSE)*VLOOKUP($L55,Vloersoorten[],3,FALSE)*VLOOKUP($S55,Frequenties[],3,FALSE)*VLOOKUP($A55,Locaties[],3,FALSE),0)</f>
        <v>0</v>
      </c>
      <c r="V55" s="202">
        <f>Ruimtestaat[[#This Row],[Uitvoeringen werkdagen]]*Ruimtestaat[[#This Row],[Oppervlak (netto)]]</f>
        <v>9681</v>
      </c>
      <c r="W55" s="242">
        <f>IF(U55&gt;0,Ruimtestaat[[#This Row],[Prest. (m2 /jaar) werkdagen]]/Ruimtestaat[[#This Row],[Norm (m2/uur) werkdagen]],0)</f>
        <v>0</v>
      </c>
      <c r="X55" s="243">
        <f>Ruimtestaat[[#This Row],[uren / jaar werkdagen]]*Tariefsopbouw!$D$38</f>
        <v>0</v>
      </c>
      <c r="Y55" s="33"/>
      <c r="Z55" s="33">
        <f>IF(Ruimtestaat[[#This Row],[Frequentie weekend]]&gt;0,VALUE(LEFT(Y55,1))*R55,0)</f>
        <v>0</v>
      </c>
      <c r="AA55" s="33">
        <f>IF($Z55&gt;0,VLOOKUP($J55,Ruimtegroepen[],3,FALSE)*VLOOKUP($L55,Vloersoorten[],3,FALSE)*VLOOKUP($Y55,Frequenties[],3,FALSE)*VLOOKUP(#REF!,Locaties[],3,FALSE),0)</f>
        <v>0</v>
      </c>
      <c r="AB55" s="33"/>
      <c r="AC55" s="33"/>
      <c r="AD55" s="33">
        <f>Ruimtestaat[[#This Row],[uren / jaar weekend]]*Tariefsopbouw!$D$40</f>
        <v>0</v>
      </c>
      <c r="AE55" s="86">
        <f>Ruimtestaat[[#This Row],[Prest. (m2 /jaar) weekend]]+Ruimtestaat[[#This Row],[Prest. (m2 /jaar) werkdagen]]</f>
        <v>9681</v>
      </c>
      <c r="AF55" s="86">
        <f>Ruimtestaat[[#This Row],[uren / jaar weekend]]+Ruimtestaat[[#This Row],[uren / jaar werkdagen]]</f>
        <v>0</v>
      </c>
      <c r="AG55" s="87">
        <f>Ruimtestaat[[#This Row],[kosten / jaar weekend]]+Ruimtestaat[[#This Row],[kosten / jaar werkdagen]]</f>
        <v>0</v>
      </c>
      <c r="HL55" s="85"/>
    </row>
    <row r="56" spans="1:220" ht="15" customHeight="1">
      <c r="A56" s="187">
        <v>1</v>
      </c>
      <c r="B56" s="21" t="str">
        <f>VLOOKUP(Ruimtestaat[[#This Row],[Code]],Locaties[#All],2,FALSE)</f>
        <v>Praktijkonderwijs</v>
      </c>
      <c r="C56" s="231" t="str">
        <f>VLOOKUP(Ruimtestaat[[#This Row],[Code]],Locaties[#All],4,FALSE)</f>
        <v>Leliestraat 1</v>
      </c>
      <c r="D56" s="231" t="str">
        <f>VLOOKUP(Ruimtestaat[[#This Row],[Code]],Locaties[#All],5,FALSE)</f>
        <v>7572 VD</v>
      </c>
      <c r="E56" s="187" t="str">
        <f>VLOOKUP(Ruimtestaat[[#This Row],[Code]],Locaties[#All],6,FALSE)</f>
        <v>Oldenzaal</v>
      </c>
      <c r="F56" s="232"/>
      <c r="G56" s="187">
        <v>1</v>
      </c>
      <c r="H56" s="187">
        <v>35</v>
      </c>
      <c r="I56" s="232" t="s">
        <v>737</v>
      </c>
      <c r="J56" s="187">
        <v>16</v>
      </c>
      <c r="K56" s="187" t="str">
        <f>VLOOKUP(Ruimtestaat[[#This Row],[Ruimte code]],Ruimtegroepen[#All],2,FALSE)</f>
        <v>Leslokalen/computerlokaal</v>
      </c>
      <c r="L56" s="231" t="s">
        <v>677</v>
      </c>
      <c r="M56" s="187" t="s">
        <v>1200</v>
      </c>
      <c r="N56" s="200">
        <v>46.1</v>
      </c>
      <c r="O56" s="200"/>
      <c r="P56" s="231" t="str">
        <f>VLOOKUP(Ruimtestaat[[#This Row],[Ruimte code]],Ruimtegroepen[#All],4,FALSE)</f>
        <v>L  (Lesruimte)</v>
      </c>
      <c r="Q56" s="201"/>
      <c r="R56" s="202">
        <v>42</v>
      </c>
      <c r="S56" s="202" t="s">
        <v>2</v>
      </c>
      <c r="T56" s="202">
        <f>IF(R56&gt;0,IF(RIGHT(Ruimtestaat[[#This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6" s="202">
        <f>IF(T56&gt;0,VLOOKUP($J56,Ruimtegroepen[],3,FALSE)*VLOOKUP($L56,Vloersoorten[],3,FALSE)*VLOOKUP($S56,Frequenties[],3,FALSE)*VLOOKUP($A56,Locaties[],3,FALSE),0)</f>
        <v>0</v>
      </c>
      <c r="V56" s="202">
        <f>Ruimtestaat[[#This Row],[Uitvoeringen werkdagen]]*Ruimtestaat[[#This Row],[Oppervlak (netto)]]</f>
        <v>9681</v>
      </c>
      <c r="W56" s="242">
        <f>IF(U56&gt;0,Ruimtestaat[[#This Row],[Prest. (m2 /jaar) werkdagen]]/Ruimtestaat[[#This Row],[Norm (m2/uur) werkdagen]],0)</f>
        <v>0</v>
      </c>
      <c r="X56" s="243">
        <f>Ruimtestaat[[#This Row],[uren / jaar werkdagen]]*Tariefsopbouw!$D$38</f>
        <v>0</v>
      </c>
      <c r="Y56" s="33"/>
      <c r="Z56" s="33">
        <f>IF(Ruimtestaat[[#This Row],[Frequentie weekend]]&gt;0,VALUE(LEFT(Y56,1))*R56,0)</f>
        <v>0</v>
      </c>
      <c r="AA56" s="33">
        <f>IF($Z56&gt;0,VLOOKUP($J56,Ruimtegroepen[],3,FALSE)*VLOOKUP($L56,Vloersoorten[],3,FALSE)*VLOOKUP($Y56,Frequenties[],3,FALSE)*VLOOKUP(#REF!,Locaties[],3,FALSE),0)</f>
        <v>0</v>
      </c>
      <c r="AB56" s="33"/>
      <c r="AC56" s="33"/>
      <c r="AD56" s="33">
        <f>Ruimtestaat[[#This Row],[uren / jaar weekend]]*Tariefsopbouw!$D$40</f>
        <v>0</v>
      </c>
      <c r="AE56" s="86">
        <f>Ruimtestaat[[#This Row],[Prest. (m2 /jaar) weekend]]+Ruimtestaat[[#This Row],[Prest. (m2 /jaar) werkdagen]]</f>
        <v>9681</v>
      </c>
      <c r="AF56" s="86">
        <f>Ruimtestaat[[#This Row],[uren / jaar weekend]]+Ruimtestaat[[#This Row],[uren / jaar werkdagen]]</f>
        <v>0</v>
      </c>
      <c r="AG56" s="87">
        <f>Ruimtestaat[[#This Row],[kosten / jaar weekend]]+Ruimtestaat[[#This Row],[kosten / jaar werkdagen]]</f>
        <v>0</v>
      </c>
      <c r="HL56" s="85"/>
    </row>
    <row r="57" spans="1:220" ht="15" customHeight="1">
      <c r="A57" s="187">
        <v>1</v>
      </c>
      <c r="B57" s="21" t="str">
        <f>VLOOKUP(Ruimtestaat[[#This Row],[Code]],Locaties[#All],2,FALSE)</f>
        <v>Praktijkonderwijs</v>
      </c>
      <c r="C57" s="231" t="str">
        <f>VLOOKUP(Ruimtestaat[[#This Row],[Code]],Locaties[#All],4,FALSE)</f>
        <v>Leliestraat 1</v>
      </c>
      <c r="D57" s="231" t="str">
        <f>VLOOKUP(Ruimtestaat[[#This Row],[Code]],Locaties[#All],5,FALSE)</f>
        <v>7572 VD</v>
      </c>
      <c r="E57" s="187" t="str">
        <f>VLOOKUP(Ruimtestaat[[#This Row],[Code]],Locaties[#All],6,FALSE)</f>
        <v>Oldenzaal</v>
      </c>
      <c r="F57" s="232"/>
      <c r="G57" s="187">
        <v>1</v>
      </c>
      <c r="H57" s="187">
        <v>36</v>
      </c>
      <c r="I57" s="232" t="s">
        <v>737</v>
      </c>
      <c r="J57" s="187">
        <v>16</v>
      </c>
      <c r="K57" s="187" t="str">
        <f>VLOOKUP(Ruimtestaat[[#This Row],[Ruimte code]],Ruimtegroepen[#All],2,FALSE)</f>
        <v>Leslokalen/computerlokaal</v>
      </c>
      <c r="L57" s="231" t="s">
        <v>677</v>
      </c>
      <c r="M57" s="187" t="s">
        <v>1200</v>
      </c>
      <c r="N57" s="200">
        <v>46.1</v>
      </c>
      <c r="O57" s="200"/>
      <c r="P57" s="231" t="str">
        <f>VLOOKUP(Ruimtestaat[[#This Row],[Ruimte code]],Ruimtegroepen[#All],4,FALSE)</f>
        <v>L  (Lesruimte)</v>
      </c>
      <c r="Q57" s="201"/>
      <c r="R57" s="202">
        <v>42</v>
      </c>
      <c r="S57" s="202" t="s">
        <v>2</v>
      </c>
      <c r="T57" s="202">
        <f>IF(R57&gt;0,IF(RIGHT(Ruimtestaat[[#This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7" s="202">
        <f>IF(T57&gt;0,VLOOKUP($J57,Ruimtegroepen[],3,FALSE)*VLOOKUP($L57,Vloersoorten[],3,FALSE)*VLOOKUP($S57,Frequenties[],3,FALSE)*VLOOKUP($A57,Locaties[],3,FALSE),0)</f>
        <v>0</v>
      </c>
      <c r="V57" s="202">
        <f>Ruimtestaat[[#This Row],[Uitvoeringen werkdagen]]*Ruimtestaat[[#This Row],[Oppervlak (netto)]]</f>
        <v>9681</v>
      </c>
      <c r="W57" s="242">
        <f>IF(U57&gt;0,Ruimtestaat[[#This Row],[Prest. (m2 /jaar) werkdagen]]/Ruimtestaat[[#This Row],[Norm (m2/uur) werkdagen]],0)</f>
        <v>0</v>
      </c>
      <c r="X57" s="243">
        <f>Ruimtestaat[[#This Row],[uren / jaar werkdagen]]*Tariefsopbouw!$D$38</f>
        <v>0</v>
      </c>
      <c r="Y57" s="33"/>
      <c r="Z57" s="33">
        <f>IF(Ruimtestaat[[#This Row],[Frequentie weekend]]&gt;0,VALUE(LEFT(Y57,1))*R57,0)</f>
        <v>0</v>
      </c>
      <c r="AA57" s="33">
        <f>IF($Z57&gt;0,VLOOKUP($J57,Ruimtegroepen[],3,FALSE)*VLOOKUP($L57,Vloersoorten[],3,FALSE)*VLOOKUP($Y57,Frequenties[],3,FALSE)*VLOOKUP(#REF!,Locaties[],3,FALSE),0)</f>
        <v>0</v>
      </c>
      <c r="AB57" s="33"/>
      <c r="AC57" s="33"/>
      <c r="AD57" s="33">
        <f>Ruimtestaat[[#This Row],[uren / jaar weekend]]*Tariefsopbouw!$D$40</f>
        <v>0</v>
      </c>
      <c r="AE57" s="86">
        <f>Ruimtestaat[[#This Row],[Prest. (m2 /jaar) weekend]]+Ruimtestaat[[#This Row],[Prest. (m2 /jaar) werkdagen]]</f>
        <v>9681</v>
      </c>
      <c r="AF57" s="86">
        <f>Ruimtestaat[[#This Row],[uren / jaar weekend]]+Ruimtestaat[[#This Row],[uren / jaar werkdagen]]</f>
        <v>0</v>
      </c>
      <c r="AG57" s="87">
        <f>Ruimtestaat[[#This Row],[kosten / jaar weekend]]+Ruimtestaat[[#This Row],[kosten / jaar werkdagen]]</f>
        <v>0</v>
      </c>
      <c r="HL57" s="85"/>
    </row>
    <row r="58" spans="1:220" ht="15" customHeight="1">
      <c r="A58" s="187">
        <v>1</v>
      </c>
      <c r="B58" s="21" t="str">
        <f>VLOOKUP(Ruimtestaat[[#This Row],[Code]],Locaties[#All],2,FALSE)</f>
        <v>Praktijkonderwijs</v>
      </c>
      <c r="C58" s="231" t="str">
        <f>VLOOKUP(Ruimtestaat[[#This Row],[Code]],Locaties[#All],4,FALSE)</f>
        <v>Leliestraat 1</v>
      </c>
      <c r="D58" s="231" t="str">
        <f>VLOOKUP(Ruimtestaat[[#This Row],[Code]],Locaties[#All],5,FALSE)</f>
        <v>7572 VD</v>
      </c>
      <c r="E58" s="187" t="str">
        <f>VLOOKUP(Ruimtestaat[[#This Row],[Code]],Locaties[#All],6,FALSE)</f>
        <v>Oldenzaal</v>
      </c>
      <c r="F58" s="232"/>
      <c r="G58" s="187">
        <v>1</v>
      </c>
      <c r="H58" s="187">
        <v>37</v>
      </c>
      <c r="I58" s="232" t="s">
        <v>738</v>
      </c>
      <c r="J58" s="187">
        <v>14</v>
      </c>
      <c r="K58" s="187" t="str">
        <f>VLOOKUP(Ruimtestaat[[#This Row],[Ruimte code]],Ruimtegroepen[#All],2,FALSE)</f>
        <v>Praktijklokalen/kabinet</v>
      </c>
      <c r="L58" s="231" t="s">
        <v>677</v>
      </c>
      <c r="M58" s="187" t="s">
        <v>1200</v>
      </c>
      <c r="N58" s="200">
        <v>47.6</v>
      </c>
      <c r="O58" s="200"/>
      <c r="P58" s="231" t="str">
        <f>VLOOKUP(Ruimtestaat[[#This Row],[Ruimte code]],Ruimtegroepen[#All],4,FALSE)</f>
        <v>L  (Lesruimte)</v>
      </c>
      <c r="Q58" s="201"/>
      <c r="R58" s="202">
        <v>42</v>
      </c>
      <c r="S58" s="202" t="s">
        <v>2</v>
      </c>
      <c r="T58" s="202">
        <f>IF(R58&gt;0,IF(RIGHT(Ruimtestaat[[#This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8" s="202">
        <f>IF(T58&gt;0,VLOOKUP($J58,Ruimtegroepen[],3,FALSE)*VLOOKUP($L58,Vloersoorten[],3,FALSE)*VLOOKUP($S58,Frequenties[],3,FALSE)*VLOOKUP($A58,Locaties[],3,FALSE),0)</f>
        <v>0</v>
      </c>
      <c r="V58" s="202">
        <f>Ruimtestaat[[#This Row],[Uitvoeringen werkdagen]]*Ruimtestaat[[#This Row],[Oppervlak (netto)]]</f>
        <v>9996</v>
      </c>
      <c r="W58" s="242">
        <f>IF(U58&gt;0,Ruimtestaat[[#This Row],[Prest. (m2 /jaar) werkdagen]]/Ruimtestaat[[#This Row],[Norm (m2/uur) werkdagen]],0)</f>
        <v>0</v>
      </c>
      <c r="X58" s="243">
        <f>Ruimtestaat[[#This Row],[uren / jaar werkdagen]]*Tariefsopbouw!$D$38</f>
        <v>0</v>
      </c>
      <c r="Y58" s="33"/>
      <c r="Z58" s="33">
        <f>IF(Ruimtestaat[[#This Row],[Frequentie weekend]]&gt;0,VALUE(LEFT(Y58,1))*R58,0)</f>
        <v>0</v>
      </c>
      <c r="AA58" s="33">
        <f>IF($Z58&gt;0,VLOOKUP($J58,Ruimtegroepen[],3,FALSE)*VLOOKUP($L58,Vloersoorten[],3,FALSE)*VLOOKUP($Y58,Frequenties[],3,FALSE)*VLOOKUP(#REF!,Locaties[],3,FALSE),0)</f>
        <v>0</v>
      </c>
      <c r="AB58" s="33"/>
      <c r="AC58" s="33"/>
      <c r="AD58" s="33">
        <f>Ruimtestaat[[#This Row],[uren / jaar weekend]]*Tariefsopbouw!$D$40</f>
        <v>0</v>
      </c>
      <c r="AE58" s="86">
        <f>Ruimtestaat[[#This Row],[Prest. (m2 /jaar) weekend]]+Ruimtestaat[[#This Row],[Prest. (m2 /jaar) werkdagen]]</f>
        <v>9996</v>
      </c>
      <c r="AF58" s="86">
        <f>Ruimtestaat[[#This Row],[uren / jaar weekend]]+Ruimtestaat[[#This Row],[uren / jaar werkdagen]]</f>
        <v>0</v>
      </c>
      <c r="AG58" s="87">
        <f>Ruimtestaat[[#This Row],[kosten / jaar weekend]]+Ruimtestaat[[#This Row],[kosten / jaar werkdagen]]</f>
        <v>0</v>
      </c>
      <c r="HL58" s="85"/>
    </row>
    <row r="59" spans="1:220" ht="15" customHeight="1">
      <c r="A59" s="187">
        <v>1</v>
      </c>
      <c r="B59" s="21" t="str">
        <f>VLOOKUP(Ruimtestaat[[#This Row],[Code]],Locaties[#All],2,FALSE)</f>
        <v>Praktijkonderwijs</v>
      </c>
      <c r="C59" s="231" t="str">
        <f>VLOOKUP(Ruimtestaat[[#This Row],[Code]],Locaties[#All],4,FALSE)</f>
        <v>Leliestraat 1</v>
      </c>
      <c r="D59" s="231" t="str">
        <f>VLOOKUP(Ruimtestaat[[#This Row],[Code]],Locaties[#All],5,FALSE)</f>
        <v>7572 VD</v>
      </c>
      <c r="E59" s="187" t="str">
        <f>VLOOKUP(Ruimtestaat[[#This Row],[Code]],Locaties[#All],6,FALSE)</f>
        <v>Oldenzaal</v>
      </c>
      <c r="F59" s="232"/>
      <c r="G59" s="187">
        <v>1</v>
      </c>
      <c r="H59" s="187">
        <v>38</v>
      </c>
      <c r="I59" s="232" t="s">
        <v>739</v>
      </c>
      <c r="J59" s="231">
        <v>9</v>
      </c>
      <c r="K59" s="231" t="str">
        <f>VLOOKUP(Ruimtestaat[[#This Row],[Ruimte code]],Ruimtegroepen[#All],2,FALSE)</f>
        <v>Bibliotheek / OLC</v>
      </c>
      <c r="L59" s="231" t="s">
        <v>677</v>
      </c>
      <c r="M59" s="187" t="s">
        <v>1200</v>
      </c>
      <c r="N59" s="200">
        <v>79.8</v>
      </c>
      <c r="O59" s="200"/>
      <c r="P59" s="231" t="str">
        <f>VLOOKUP(Ruimtestaat[[#This Row],[Ruimte code]],Ruimtegroepen[#All],4,FALSE)</f>
        <v>L  (Lesruimte)</v>
      </c>
      <c r="Q59" s="201"/>
      <c r="R59" s="202">
        <v>42</v>
      </c>
      <c r="S59" s="202" t="s">
        <v>2</v>
      </c>
      <c r="T59" s="202">
        <f>IF(R59&gt;0,IF(RIGHT(Ruimtestaat[[#This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9" s="202">
        <f>IF(T59&gt;0,VLOOKUP($J59,Ruimtegroepen[],3,FALSE)*VLOOKUP($L59,Vloersoorten[],3,FALSE)*VLOOKUP($S59,Frequenties[],3,FALSE)*VLOOKUP($A59,Locaties[],3,FALSE),0)</f>
        <v>0</v>
      </c>
      <c r="V59" s="202">
        <f>Ruimtestaat[[#This Row],[Uitvoeringen werkdagen]]*Ruimtestaat[[#This Row],[Oppervlak (netto)]]</f>
        <v>16758</v>
      </c>
      <c r="W59" s="242">
        <f>IF(U59&gt;0,Ruimtestaat[[#This Row],[Prest. (m2 /jaar) werkdagen]]/Ruimtestaat[[#This Row],[Norm (m2/uur) werkdagen]],0)</f>
        <v>0</v>
      </c>
      <c r="X59" s="243">
        <f>Ruimtestaat[[#This Row],[uren / jaar werkdagen]]*Tariefsopbouw!$D$38</f>
        <v>0</v>
      </c>
      <c r="Y59" s="33"/>
      <c r="Z59" s="33">
        <f>IF(Ruimtestaat[[#This Row],[Frequentie weekend]]&gt;0,VALUE(LEFT(Y59,1))*R59,0)</f>
        <v>0</v>
      </c>
      <c r="AA59" s="33">
        <f>IF($Z59&gt;0,VLOOKUP($J59,Ruimtegroepen[],3,FALSE)*VLOOKUP($L59,Vloersoorten[],3,FALSE)*VLOOKUP($Y59,Frequenties[],3,FALSE)*VLOOKUP(#REF!,Locaties[],3,FALSE),0)</f>
        <v>0</v>
      </c>
      <c r="AB59" s="33"/>
      <c r="AC59" s="33"/>
      <c r="AD59" s="33">
        <f>Ruimtestaat[[#This Row],[uren / jaar weekend]]*Tariefsopbouw!$D$40</f>
        <v>0</v>
      </c>
      <c r="AE59" s="86">
        <f>Ruimtestaat[[#This Row],[Prest. (m2 /jaar) weekend]]+Ruimtestaat[[#This Row],[Prest. (m2 /jaar) werkdagen]]</f>
        <v>16758</v>
      </c>
      <c r="AF59" s="86">
        <f>Ruimtestaat[[#This Row],[uren / jaar weekend]]+Ruimtestaat[[#This Row],[uren / jaar werkdagen]]</f>
        <v>0</v>
      </c>
      <c r="AG59" s="87">
        <f>Ruimtestaat[[#This Row],[kosten / jaar weekend]]+Ruimtestaat[[#This Row],[kosten / jaar werkdagen]]</f>
        <v>0</v>
      </c>
      <c r="HL59" s="85"/>
    </row>
    <row r="60" spans="1:220" ht="15" customHeight="1">
      <c r="A60" s="187">
        <v>1</v>
      </c>
      <c r="B60" s="21" t="str">
        <f>VLOOKUP(Ruimtestaat[[#This Row],[Code]],Locaties[#All],2,FALSE)</f>
        <v>Praktijkonderwijs</v>
      </c>
      <c r="C60" s="231" t="str">
        <f>VLOOKUP(Ruimtestaat[[#This Row],[Code]],Locaties[#All],4,FALSE)</f>
        <v>Leliestraat 1</v>
      </c>
      <c r="D60" s="231" t="str">
        <f>VLOOKUP(Ruimtestaat[[#This Row],[Code]],Locaties[#All],5,FALSE)</f>
        <v>7572 VD</v>
      </c>
      <c r="E60" s="187" t="str">
        <f>VLOOKUP(Ruimtestaat[[#This Row],[Code]],Locaties[#All],6,FALSE)</f>
        <v>Oldenzaal</v>
      </c>
      <c r="F60" s="232"/>
      <c r="G60" s="187">
        <v>1</v>
      </c>
      <c r="H60" s="202">
        <v>39</v>
      </c>
      <c r="I60" s="241" t="s">
        <v>740</v>
      </c>
      <c r="J60" s="245">
        <v>13</v>
      </c>
      <c r="K60" s="245" t="str">
        <f>VLOOKUP(Ruimtestaat[[#This Row],[Ruimte code]],Ruimtegroepen[#All],2,FALSE)</f>
        <v>Personeelskamer</v>
      </c>
      <c r="L60" s="231" t="s">
        <v>677</v>
      </c>
      <c r="M60" s="187" t="s">
        <v>1200</v>
      </c>
      <c r="N60" s="200">
        <v>60.8</v>
      </c>
      <c r="O60" s="200"/>
      <c r="P60" s="231" t="str">
        <f>VLOOKUP(Ruimtestaat[[#This Row],[Ruimte code]],Ruimtegroepen[#All],4,FALSE)</f>
        <v>V  (Verkeersruimte)</v>
      </c>
      <c r="Q60" s="201"/>
      <c r="R60" s="202">
        <v>42</v>
      </c>
      <c r="S60" s="202" t="s">
        <v>2</v>
      </c>
      <c r="T60" s="202">
        <f>IF(R60&gt;0,IF(RIGHT(Ruimtestaat[[#This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0" s="202">
        <f>IF(T60&gt;0,VLOOKUP($J60,Ruimtegroepen[],3,FALSE)*VLOOKUP($L60,Vloersoorten[],3,FALSE)*VLOOKUP($S60,Frequenties[],3,FALSE)*VLOOKUP($A60,Locaties[],3,FALSE),0)</f>
        <v>0</v>
      </c>
      <c r="V60" s="202">
        <f>Ruimtestaat[[#This Row],[Uitvoeringen werkdagen]]*Ruimtestaat[[#This Row],[Oppervlak (netto)]]</f>
        <v>12768</v>
      </c>
      <c r="W60" s="242">
        <f>IF(U60&gt;0,Ruimtestaat[[#This Row],[Prest. (m2 /jaar) werkdagen]]/Ruimtestaat[[#This Row],[Norm (m2/uur) werkdagen]],0)</f>
        <v>0</v>
      </c>
      <c r="X60" s="243">
        <f>Ruimtestaat[[#This Row],[uren / jaar werkdagen]]*Tariefsopbouw!$D$38</f>
        <v>0</v>
      </c>
      <c r="Y60" s="33"/>
      <c r="Z60" s="33">
        <f>IF(Ruimtestaat[[#This Row],[Frequentie weekend]]&gt;0,VALUE(LEFT(Y60,1))*R60,0)</f>
        <v>0</v>
      </c>
      <c r="AA60" s="33">
        <f>IF($Z60&gt;0,VLOOKUP($J60,Ruimtegroepen[],3,FALSE)*VLOOKUP($L60,Vloersoorten[],3,FALSE)*VLOOKUP($Y60,Frequenties[],3,FALSE)*VLOOKUP(#REF!,Locaties[],3,FALSE),0)</f>
        <v>0</v>
      </c>
      <c r="AB60" s="33"/>
      <c r="AC60" s="33"/>
      <c r="AD60" s="33">
        <f>Ruimtestaat[[#This Row],[uren / jaar weekend]]*Tariefsopbouw!$D$40</f>
        <v>0</v>
      </c>
      <c r="AE60" s="86">
        <f>Ruimtestaat[[#This Row],[Prest. (m2 /jaar) weekend]]+Ruimtestaat[[#This Row],[Prest. (m2 /jaar) werkdagen]]</f>
        <v>12768</v>
      </c>
      <c r="AF60" s="86">
        <f>Ruimtestaat[[#This Row],[uren / jaar weekend]]+Ruimtestaat[[#This Row],[uren / jaar werkdagen]]</f>
        <v>0</v>
      </c>
      <c r="AG60" s="87">
        <f>Ruimtestaat[[#This Row],[kosten / jaar weekend]]+Ruimtestaat[[#This Row],[kosten / jaar werkdagen]]</f>
        <v>0</v>
      </c>
      <c r="HL60" s="85"/>
    </row>
    <row r="61" spans="1:220" ht="15" customHeight="1">
      <c r="A61" s="187">
        <v>1</v>
      </c>
      <c r="B61" s="21" t="str">
        <f>VLOOKUP(Ruimtestaat[[#This Row],[Code]],Locaties[#All],2,FALSE)</f>
        <v>Praktijkonderwijs</v>
      </c>
      <c r="C61" s="231" t="str">
        <f>VLOOKUP(Ruimtestaat[[#This Row],[Code]],Locaties[#All],4,FALSE)</f>
        <v>Leliestraat 1</v>
      </c>
      <c r="D61" s="231" t="str">
        <f>VLOOKUP(Ruimtestaat[[#This Row],[Code]],Locaties[#All],5,FALSE)</f>
        <v>7572 VD</v>
      </c>
      <c r="E61" s="187" t="str">
        <f>VLOOKUP(Ruimtestaat[[#This Row],[Code]],Locaties[#All],6,FALSE)</f>
        <v>Oldenzaal</v>
      </c>
      <c r="F61" s="232"/>
      <c r="G61" s="187">
        <v>1</v>
      </c>
      <c r="H61" s="202">
        <v>40</v>
      </c>
      <c r="I61" s="241" t="s">
        <v>698</v>
      </c>
      <c r="J61" s="187">
        <v>5</v>
      </c>
      <c r="K61" s="187" t="str">
        <f>VLOOKUP(Ruimtestaat[[#This Row],[Ruimte code]],Ruimtegroepen[#All],2,FALSE)</f>
        <v>Sanitair</v>
      </c>
      <c r="L61" s="202" t="s">
        <v>108</v>
      </c>
      <c r="M61" s="187" t="s">
        <v>1206</v>
      </c>
      <c r="N61" s="200">
        <v>7</v>
      </c>
      <c r="O61" s="200"/>
      <c r="P61" s="231" t="str">
        <f>VLOOKUP(Ruimtestaat[[#This Row],[Ruimte code]],Ruimtegroepen[#All],4,FALSE)</f>
        <v>S  (Sanitair)</v>
      </c>
      <c r="Q61" s="201"/>
      <c r="R61" s="202">
        <v>42</v>
      </c>
      <c r="S61" s="202" t="s">
        <v>2</v>
      </c>
      <c r="T61" s="202">
        <f>IF(R61&gt;0,IF(RIGHT(Ruimtestaat[[#This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1" s="202">
        <f>IF(T61&gt;0,VLOOKUP($J61,Ruimtegroepen[],3,FALSE)*VLOOKUP($L61,Vloersoorten[],3,FALSE)*VLOOKUP($S61,Frequenties[],3,FALSE)*VLOOKUP($A61,Locaties[],3,FALSE),0)</f>
        <v>0</v>
      </c>
      <c r="V61" s="202">
        <f>Ruimtestaat[[#This Row],[Uitvoeringen werkdagen]]*Ruimtestaat[[#This Row],[Oppervlak (netto)]]</f>
        <v>1470</v>
      </c>
      <c r="W61" s="242">
        <f>IF(U61&gt;0,Ruimtestaat[[#This Row],[Prest. (m2 /jaar) werkdagen]]/Ruimtestaat[[#This Row],[Norm (m2/uur) werkdagen]],0)</f>
        <v>0</v>
      </c>
      <c r="X61" s="243">
        <f>Ruimtestaat[[#This Row],[uren / jaar werkdagen]]*Tariefsopbouw!$D$38</f>
        <v>0</v>
      </c>
      <c r="Y61" s="33"/>
      <c r="Z61" s="33">
        <f>IF(Ruimtestaat[[#This Row],[Frequentie weekend]]&gt;0,VALUE(LEFT(Y61,1))*R61,0)</f>
        <v>0</v>
      </c>
      <c r="AA61" s="33">
        <f>IF($Z61&gt;0,VLOOKUP($J61,Ruimtegroepen[],3,FALSE)*VLOOKUP($L61,Vloersoorten[],3,FALSE)*VLOOKUP($Y61,Frequenties[],3,FALSE)*VLOOKUP(#REF!,Locaties[],3,FALSE),0)</f>
        <v>0</v>
      </c>
      <c r="AB61" s="33"/>
      <c r="AC61" s="33"/>
      <c r="AD61" s="33">
        <f>Ruimtestaat[[#This Row],[uren / jaar weekend]]*Tariefsopbouw!$D$40</f>
        <v>0</v>
      </c>
      <c r="AE61" s="86">
        <f>Ruimtestaat[[#This Row],[Prest. (m2 /jaar) weekend]]+Ruimtestaat[[#This Row],[Prest. (m2 /jaar) werkdagen]]</f>
        <v>1470</v>
      </c>
      <c r="AF61" s="86">
        <f>Ruimtestaat[[#This Row],[uren / jaar weekend]]+Ruimtestaat[[#This Row],[uren / jaar werkdagen]]</f>
        <v>0</v>
      </c>
      <c r="AG61" s="87">
        <f>Ruimtestaat[[#This Row],[kosten / jaar weekend]]+Ruimtestaat[[#This Row],[kosten / jaar werkdagen]]</f>
        <v>0</v>
      </c>
      <c r="HL61" s="85"/>
    </row>
    <row r="62" spans="1:220" ht="15" customHeight="1">
      <c r="A62" s="187">
        <v>1</v>
      </c>
      <c r="B62" s="21" t="str">
        <f>VLOOKUP(Ruimtestaat[[#This Row],[Code]],Locaties[#All],2,FALSE)</f>
        <v>Praktijkonderwijs</v>
      </c>
      <c r="C62" s="231" t="str">
        <f>VLOOKUP(Ruimtestaat[[#This Row],[Code]],Locaties[#All],4,FALSE)</f>
        <v>Leliestraat 1</v>
      </c>
      <c r="D62" s="231" t="str">
        <f>VLOOKUP(Ruimtestaat[[#This Row],[Code]],Locaties[#All],5,FALSE)</f>
        <v>7572 VD</v>
      </c>
      <c r="E62" s="187" t="str">
        <f>VLOOKUP(Ruimtestaat[[#This Row],[Code]],Locaties[#All],6,FALSE)</f>
        <v>Oldenzaal</v>
      </c>
      <c r="F62" s="232"/>
      <c r="G62" s="187">
        <v>1</v>
      </c>
      <c r="H62" s="187">
        <v>41</v>
      </c>
      <c r="I62" s="232" t="s">
        <v>741</v>
      </c>
      <c r="J62" s="187">
        <v>2</v>
      </c>
      <c r="K62" s="187" t="str">
        <f>VLOOKUP(Ruimtestaat[[#This Row],[Ruimte code]],Ruimtegroepen[#All],2,FALSE)</f>
        <v>Kantoren/kantoortuin</v>
      </c>
      <c r="L62" s="231" t="s">
        <v>1204</v>
      </c>
      <c r="M62" s="187" t="s">
        <v>1205</v>
      </c>
      <c r="N62" s="200">
        <v>26.52</v>
      </c>
      <c r="O62" s="200"/>
      <c r="P62" s="231" t="str">
        <f>VLOOKUP(Ruimtestaat[[#This Row],[Ruimte code]],Ruimtegroepen[#All],4,FALSE)</f>
        <v>B  (Bureauruimte)</v>
      </c>
      <c r="Q62" s="201"/>
      <c r="R62" s="202">
        <v>42</v>
      </c>
      <c r="S62" s="202" t="s">
        <v>2</v>
      </c>
      <c r="T62" s="202">
        <f>IF(R62&gt;0,IF(RIGHT(Ruimtestaat[[#This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2" s="202">
        <f>IF(T62&gt;0,VLOOKUP($J62,Ruimtegroepen[],3,FALSE)*VLOOKUP($L62,Vloersoorten[],3,FALSE)*VLOOKUP($S62,Frequenties[],3,FALSE)*VLOOKUP($A62,Locaties[],3,FALSE),0)</f>
        <v>0</v>
      </c>
      <c r="V62" s="202">
        <f>Ruimtestaat[[#This Row],[Uitvoeringen werkdagen]]*Ruimtestaat[[#This Row],[Oppervlak (netto)]]</f>
        <v>5569.2</v>
      </c>
      <c r="W62" s="242">
        <f>IF(U62&gt;0,Ruimtestaat[[#This Row],[Prest. (m2 /jaar) werkdagen]]/Ruimtestaat[[#This Row],[Norm (m2/uur) werkdagen]],0)</f>
        <v>0</v>
      </c>
      <c r="X62" s="243">
        <f>Ruimtestaat[[#This Row],[uren / jaar werkdagen]]*Tariefsopbouw!$D$38</f>
        <v>0</v>
      </c>
      <c r="Y62" s="33"/>
      <c r="Z62" s="33">
        <f>IF(Ruimtestaat[[#This Row],[Frequentie weekend]]&gt;0,VALUE(LEFT(Y62,1))*R62,0)</f>
        <v>0</v>
      </c>
      <c r="AA62" s="33">
        <f>IF($Z62&gt;0,VLOOKUP($J62,Ruimtegroepen[],3,FALSE)*VLOOKUP($L62,Vloersoorten[],3,FALSE)*VLOOKUP($Y62,Frequenties[],3,FALSE)*VLOOKUP(#REF!,Locaties[],3,FALSE),0)</f>
        <v>0</v>
      </c>
      <c r="AB62" s="33"/>
      <c r="AC62" s="33"/>
      <c r="AD62" s="33">
        <f>Ruimtestaat[[#This Row],[uren / jaar weekend]]*Tariefsopbouw!$D$40</f>
        <v>0</v>
      </c>
      <c r="AE62" s="86">
        <f>Ruimtestaat[[#This Row],[Prest. (m2 /jaar) weekend]]+Ruimtestaat[[#This Row],[Prest. (m2 /jaar) werkdagen]]</f>
        <v>5569.2</v>
      </c>
      <c r="AF62" s="86">
        <f>Ruimtestaat[[#This Row],[uren / jaar weekend]]+Ruimtestaat[[#This Row],[uren / jaar werkdagen]]</f>
        <v>0</v>
      </c>
      <c r="AG62" s="87">
        <f>Ruimtestaat[[#This Row],[kosten / jaar weekend]]+Ruimtestaat[[#This Row],[kosten / jaar werkdagen]]</f>
        <v>0</v>
      </c>
      <c r="HL62" s="85"/>
    </row>
    <row r="63" spans="1:220" ht="15" customHeight="1">
      <c r="A63" s="187">
        <v>1</v>
      </c>
      <c r="B63" s="21" t="str">
        <f>VLOOKUP(Ruimtestaat[[#This Row],[Code]],Locaties[#All],2,FALSE)</f>
        <v>Praktijkonderwijs</v>
      </c>
      <c r="C63" s="231" t="str">
        <f>VLOOKUP(Ruimtestaat[[#This Row],[Code]],Locaties[#All],4,FALSE)</f>
        <v>Leliestraat 1</v>
      </c>
      <c r="D63" s="231" t="str">
        <f>VLOOKUP(Ruimtestaat[[#This Row],[Code]],Locaties[#All],5,FALSE)</f>
        <v>7572 VD</v>
      </c>
      <c r="E63" s="187" t="str">
        <f>VLOOKUP(Ruimtestaat[[#This Row],[Code]],Locaties[#All],6,FALSE)</f>
        <v>Oldenzaal</v>
      </c>
      <c r="F63" s="232"/>
      <c r="G63" s="187">
        <v>1</v>
      </c>
      <c r="H63" s="187">
        <v>42</v>
      </c>
      <c r="I63" s="232" t="s">
        <v>742</v>
      </c>
      <c r="J63" s="187">
        <v>2</v>
      </c>
      <c r="K63" s="187" t="str">
        <f>VLOOKUP(Ruimtestaat[[#This Row],[Ruimte code]],Ruimtegroepen[#All],2,FALSE)</f>
        <v>Kantoren/kantoortuin</v>
      </c>
      <c r="L63" s="231" t="s">
        <v>1204</v>
      </c>
      <c r="M63" s="187" t="s">
        <v>1205</v>
      </c>
      <c r="N63" s="200">
        <v>17.899999999999999</v>
      </c>
      <c r="O63" s="200"/>
      <c r="P63" s="231" t="str">
        <f>VLOOKUP(Ruimtestaat[[#This Row],[Ruimte code]],Ruimtegroepen[#All],4,FALSE)</f>
        <v>B  (Bureauruimte)</v>
      </c>
      <c r="Q63" s="201"/>
      <c r="R63" s="202">
        <v>42</v>
      </c>
      <c r="S63" s="202" t="s">
        <v>2</v>
      </c>
      <c r="T63" s="202">
        <f>IF(R63&gt;0,IF(RIGHT(Ruimtestaat[[#This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3" s="202">
        <f>IF(T63&gt;0,VLOOKUP($J63,Ruimtegroepen[],3,FALSE)*VLOOKUP($L63,Vloersoorten[],3,FALSE)*VLOOKUP($S63,Frequenties[],3,FALSE)*VLOOKUP($A63,Locaties[],3,FALSE),0)</f>
        <v>0</v>
      </c>
      <c r="V63" s="202">
        <f>Ruimtestaat[[#This Row],[Uitvoeringen werkdagen]]*Ruimtestaat[[#This Row],[Oppervlak (netto)]]</f>
        <v>3758.9999999999995</v>
      </c>
      <c r="W63" s="242">
        <f>IF(U63&gt;0,Ruimtestaat[[#This Row],[Prest. (m2 /jaar) werkdagen]]/Ruimtestaat[[#This Row],[Norm (m2/uur) werkdagen]],0)</f>
        <v>0</v>
      </c>
      <c r="X63" s="243">
        <f>Ruimtestaat[[#This Row],[uren / jaar werkdagen]]*Tariefsopbouw!$D$38</f>
        <v>0</v>
      </c>
      <c r="Y63" s="33"/>
      <c r="Z63" s="33">
        <f>IF(Ruimtestaat[[#This Row],[Frequentie weekend]]&gt;0,VALUE(LEFT(Y63,1))*R63,0)</f>
        <v>0</v>
      </c>
      <c r="AA63" s="33">
        <f>IF($Z63&gt;0,VLOOKUP($J63,Ruimtegroepen[],3,FALSE)*VLOOKUP($L63,Vloersoorten[],3,FALSE)*VLOOKUP($Y63,Frequenties[],3,FALSE)*VLOOKUP(#REF!,Locaties[],3,FALSE),0)</f>
        <v>0</v>
      </c>
      <c r="AB63" s="33"/>
      <c r="AC63" s="33"/>
      <c r="AD63" s="33">
        <f>Ruimtestaat[[#This Row],[uren / jaar weekend]]*Tariefsopbouw!$D$40</f>
        <v>0</v>
      </c>
      <c r="AE63" s="86">
        <f>Ruimtestaat[[#This Row],[Prest. (m2 /jaar) weekend]]+Ruimtestaat[[#This Row],[Prest. (m2 /jaar) werkdagen]]</f>
        <v>3758.9999999999995</v>
      </c>
      <c r="AF63" s="86">
        <f>Ruimtestaat[[#This Row],[uren / jaar weekend]]+Ruimtestaat[[#This Row],[uren / jaar werkdagen]]</f>
        <v>0</v>
      </c>
      <c r="AG63" s="87">
        <f>Ruimtestaat[[#This Row],[kosten / jaar weekend]]+Ruimtestaat[[#This Row],[kosten / jaar werkdagen]]</f>
        <v>0</v>
      </c>
      <c r="HL63" s="85"/>
    </row>
    <row r="64" spans="1:220" ht="15" customHeight="1">
      <c r="A64" s="187">
        <v>1</v>
      </c>
      <c r="B64" s="21" t="str">
        <f>VLOOKUP(Ruimtestaat[[#This Row],[Code]],Locaties[#All],2,FALSE)</f>
        <v>Praktijkonderwijs</v>
      </c>
      <c r="C64" s="231" t="str">
        <f>VLOOKUP(Ruimtestaat[[#This Row],[Code]],Locaties[#All],4,FALSE)</f>
        <v>Leliestraat 1</v>
      </c>
      <c r="D64" s="231" t="str">
        <f>VLOOKUP(Ruimtestaat[[#This Row],[Code]],Locaties[#All],5,FALSE)</f>
        <v>7572 VD</v>
      </c>
      <c r="E64" s="187" t="str">
        <f>VLOOKUP(Ruimtestaat[[#This Row],[Code]],Locaties[#All],6,FALSE)</f>
        <v>Oldenzaal</v>
      </c>
      <c r="F64" s="232"/>
      <c r="G64" s="187">
        <v>1</v>
      </c>
      <c r="H64" s="187">
        <v>43</v>
      </c>
      <c r="I64" s="232" t="s">
        <v>743</v>
      </c>
      <c r="J64" s="187">
        <v>2</v>
      </c>
      <c r="K64" s="187" t="str">
        <f>VLOOKUP(Ruimtestaat[[#This Row],[Ruimte code]],Ruimtegroepen[#All],2,FALSE)</f>
        <v>Kantoren/kantoortuin</v>
      </c>
      <c r="L64" s="231" t="s">
        <v>1204</v>
      </c>
      <c r="M64" s="187" t="s">
        <v>1205</v>
      </c>
      <c r="N64" s="200">
        <v>17.899999999999999</v>
      </c>
      <c r="O64" s="200"/>
      <c r="P64" s="231" t="str">
        <f>VLOOKUP(Ruimtestaat[[#This Row],[Ruimte code]],Ruimtegroepen[#All],4,FALSE)</f>
        <v>B  (Bureauruimte)</v>
      </c>
      <c r="Q64" s="201"/>
      <c r="R64" s="202">
        <v>42</v>
      </c>
      <c r="S64" s="202" t="s">
        <v>2</v>
      </c>
      <c r="T64" s="202">
        <f>IF(R64&gt;0,IF(RIGHT(Ruimtestaat[[#This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4" s="202">
        <f>IF(T64&gt;0,VLOOKUP($J64,Ruimtegroepen[],3,FALSE)*VLOOKUP($L64,Vloersoorten[],3,FALSE)*VLOOKUP($S64,Frequenties[],3,FALSE)*VLOOKUP($A64,Locaties[],3,FALSE),0)</f>
        <v>0</v>
      </c>
      <c r="V64" s="202">
        <f>Ruimtestaat[[#This Row],[Uitvoeringen werkdagen]]*Ruimtestaat[[#This Row],[Oppervlak (netto)]]</f>
        <v>3758.9999999999995</v>
      </c>
      <c r="W64" s="242">
        <f>IF(U64&gt;0,Ruimtestaat[[#This Row],[Prest. (m2 /jaar) werkdagen]]/Ruimtestaat[[#This Row],[Norm (m2/uur) werkdagen]],0)</f>
        <v>0</v>
      </c>
      <c r="X64" s="243">
        <f>Ruimtestaat[[#This Row],[uren / jaar werkdagen]]*Tariefsopbouw!$D$38</f>
        <v>0</v>
      </c>
      <c r="Y64" s="33"/>
      <c r="Z64" s="33">
        <f>IF(Ruimtestaat[[#This Row],[Frequentie weekend]]&gt;0,VALUE(LEFT(Y64,1))*R64,0)</f>
        <v>0</v>
      </c>
      <c r="AA64" s="33">
        <f>IF($Z64&gt;0,VLOOKUP($J64,Ruimtegroepen[],3,FALSE)*VLOOKUP($L64,Vloersoorten[],3,FALSE)*VLOOKUP($Y64,Frequenties[],3,FALSE)*VLOOKUP(#REF!,Locaties[],3,FALSE),0)</f>
        <v>0</v>
      </c>
      <c r="AB64" s="33"/>
      <c r="AC64" s="33"/>
      <c r="AD64" s="33">
        <f>Ruimtestaat[[#This Row],[uren / jaar weekend]]*Tariefsopbouw!$D$40</f>
        <v>0</v>
      </c>
      <c r="AE64" s="86">
        <f>Ruimtestaat[[#This Row],[Prest. (m2 /jaar) weekend]]+Ruimtestaat[[#This Row],[Prest. (m2 /jaar) werkdagen]]</f>
        <v>3758.9999999999995</v>
      </c>
      <c r="AF64" s="86">
        <f>Ruimtestaat[[#This Row],[uren / jaar weekend]]+Ruimtestaat[[#This Row],[uren / jaar werkdagen]]</f>
        <v>0</v>
      </c>
      <c r="AG64" s="87">
        <f>Ruimtestaat[[#This Row],[kosten / jaar weekend]]+Ruimtestaat[[#This Row],[kosten / jaar werkdagen]]</f>
        <v>0</v>
      </c>
      <c r="HL64" s="85"/>
    </row>
    <row r="65" spans="1:220" ht="15" customHeight="1">
      <c r="A65" s="187">
        <v>1</v>
      </c>
      <c r="B65" s="21" t="str">
        <f>VLOOKUP(Ruimtestaat[[#This Row],[Code]],Locaties[#All],2,FALSE)</f>
        <v>Praktijkonderwijs</v>
      </c>
      <c r="C65" s="231" t="str">
        <f>VLOOKUP(Ruimtestaat[[#This Row],[Code]],Locaties[#All],4,FALSE)</f>
        <v>Leliestraat 1</v>
      </c>
      <c r="D65" s="231" t="str">
        <f>VLOOKUP(Ruimtestaat[[#This Row],[Code]],Locaties[#All],5,FALSE)</f>
        <v>7572 VD</v>
      </c>
      <c r="E65" s="187" t="str">
        <f>VLOOKUP(Ruimtestaat[[#This Row],[Code]],Locaties[#All],6,FALSE)</f>
        <v>Oldenzaal</v>
      </c>
      <c r="F65" s="232"/>
      <c r="G65" s="187">
        <v>1</v>
      </c>
      <c r="H65" s="187">
        <v>44</v>
      </c>
      <c r="I65" s="232" t="s">
        <v>744</v>
      </c>
      <c r="J65" s="187">
        <v>2</v>
      </c>
      <c r="K65" s="187" t="str">
        <f>VLOOKUP(Ruimtestaat[[#This Row],[Ruimte code]],Ruimtegroepen[#All],2,FALSE)</f>
        <v>Kantoren/kantoortuin</v>
      </c>
      <c r="L65" s="231" t="s">
        <v>1204</v>
      </c>
      <c r="M65" s="187" t="s">
        <v>1205</v>
      </c>
      <c r="N65" s="200">
        <v>17.899999999999999</v>
      </c>
      <c r="O65" s="200"/>
      <c r="P65" s="231" t="str">
        <f>VLOOKUP(Ruimtestaat[[#This Row],[Ruimte code]],Ruimtegroepen[#All],4,FALSE)</f>
        <v>B  (Bureauruimte)</v>
      </c>
      <c r="Q65" s="201"/>
      <c r="R65" s="202">
        <v>42</v>
      </c>
      <c r="S65" s="202" t="s">
        <v>2</v>
      </c>
      <c r="T65" s="202">
        <f>IF(R65&gt;0,IF(RIGHT(Ruimtestaat[[#This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5" s="202">
        <f>IF(T65&gt;0,VLOOKUP($J65,Ruimtegroepen[],3,FALSE)*VLOOKUP($L65,Vloersoorten[],3,FALSE)*VLOOKUP($S65,Frequenties[],3,FALSE)*VLOOKUP($A65,Locaties[],3,FALSE),0)</f>
        <v>0</v>
      </c>
      <c r="V65" s="202">
        <f>Ruimtestaat[[#This Row],[Uitvoeringen werkdagen]]*Ruimtestaat[[#This Row],[Oppervlak (netto)]]</f>
        <v>3758.9999999999995</v>
      </c>
      <c r="W65" s="242">
        <f>IF(U65&gt;0,Ruimtestaat[[#This Row],[Prest. (m2 /jaar) werkdagen]]/Ruimtestaat[[#This Row],[Norm (m2/uur) werkdagen]],0)</f>
        <v>0</v>
      </c>
      <c r="X65" s="243">
        <f>Ruimtestaat[[#This Row],[uren / jaar werkdagen]]*Tariefsopbouw!$D$38</f>
        <v>0</v>
      </c>
      <c r="Y65" s="33"/>
      <c r="Z65" s="33">
        <f>IF(Ruimtestaat[[#This Row],[Frequentie weekend]]&gt;0,VALUE(LEFT(Y65,1))*R65,0)</f>
        <v>0</v>
      </c>
      <c r="AA65" s="33">
        <f>IF($Z65&gt;0,VLOOKUP($J65,Ruimtegroepen[],3,FALSE)*VLOOKUP($L65,Vloersoorten[],3,FALSE)*VLOOKUP($Y65,Frequenties[],3,FALSE)*VLOOKUP(#REF!,Locaties[],3,FALSE),0)</f>
        <v>0</v>
      </c>
      <c r="AB65" s="33"/>
      <c r="AC65" s="33"/>
      <c r="AD65" s="33">
        <f>Ruimtestaat[[#This Row],[uren / jaar weekend]]*Tariefsopbouw!$D$40</f>
        <v>0</v>
      </c>
      <c r="AE65" s="86">
        <f>Ruimtestaat[[#This Row],[Prest. (m2 /jaar) weekend]]+Ruimtestaat[[#This Row],[Prest. (m2 /jaar) werkdagen]]</f>
        <v>3758.9999999999995</v>
      </c>
      <c r="AF65" s="86">
        <f>Ruimtestaat[[#This Row],[uren / jaar weekend]]+Ruimtestaat[[#This Row],[uren / jaar werkdagen]]</f>
        <v>0</v>
      </c>
      <c r="AG65" s="87">
        <f>Ruimtestaat[[#This Row],[kosten / jaar weekend]]+Ruimtestaat[[#This Row],[kosten / jaar werkdagen]]</f>
        <v>0</v>
      </c>
      <c r="HL65" s="85"/>
    </row>
    <row r="66" spans="1:220" ht="15" customHeight="1">
      <c r="A66" s="187">
        <v>1</v>
      </c>
      <c r="B66" s="21" t="str">
        <f>VLOOKUP(Ruimtestaat[[#This Row],[Code]],Locaties[#All],2,FALSE)</f>
        <v>Praktijkonderwijs</v>
      </c>
      <c r="C66" s="231" t="str">
        <f>VLOOKUP(Ruimtestaat[[#This Row],[Code]],Locaties[#All],4,FALSE)</f>
        <v>Leliestraat 1</v>
      </c>
      <c r="D66" s="231" t="str">
        <f>VLOOKUP(Ruimtestaat[[#This Row],[Code]],Locaties[#All],5,FALSE)</f>
        <v>7572 VD</v>
      </c>
      <c r="E66" s="187" t="str">
        <f>VLOOKUP(Ruimtestaat[[#This Row],[Code]],Locaties[#All],6,FALSE)</f>
        <v>Oldenzaal</v>
      </c>
      <c r="F66" s="232"/>
      <c r="G66" s="187">
        <v>1</v>
      </c>
      <c r="H66" s="187">
        <v>47</v>
      </c>
      <c r="I66" s="232" t="s">
        <v>250</v>
      </c>
      <c r="J66" s="231">
        <v>11</v>
      </c>
      <c r="K66" s="231" t="str">
        <f>VLOOKUP(Ruimtestaat[[#This Row],[Ruimte code]],Ruimtegroepen[#All],2,FALSE)</f>
        <v>Garderobes/kluisjesruimte</v>
      </c>
      <c r="L66" s="231" t="s">
        <v>677</v>
      </c>
      <c r="M66" s="187" t="s">
        <v>1200</v>
      </c>
      <c r="N66" s="200">
        <v>17.5</v>
      </c>
      <c r="O66" s="200"/>
      <c r="P66" s="231" t="str">
        <f>VLOOKUP(Ruimtestaat[[#This Row],[Ruimte code]],Ruimtegroepen[#All],4,FALSE)</f>
        <v>V  (Verkeersruimte)</v>
      </c>
      <c r="Q66" s="201"/>
      <c r="R66" s="202">
        <v>42</v>
      </c>
      <c r="S66" s="202" t="s">
        <v>2</v>
      </c>
      <c r="T66" s="202">
        <f>IF(R66&gt;0,IF(RIGHT(Ruimtestaat[[#This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6" s="202">
        <f>IF(T66&gt;0,VLOOKUP($J66,Ruimtegroepen[],3,FALSE)*VLOOKUP($L66,Vloersoorten[],3,FALSE)*VLOOKUP($S66,Frequenties[],3,FALSE)*VLOOKUP($A66,Locaties[],3,FALSE),0)</f>
        <v>0</v>
      </c>
      <c r="V66" s="202">
        <f>Ruimtestaat[[#This Row],[Uitvoeringen werkdagen]]*Ruimtestaat[[#This Row],[Oppervlak (netto)]]</f>
        <v>3675</v>
      </c>
      <c r="W66" s="242">
        <f>IF(U66&gt;0,Ruimtestaat[[#This Row],[Prest. (m2 /jaar) werkdagen]]/Ruimtestaat[[#This Row],[Norm (m2/uur) werkdagen]],0)</f>
        <v>0</v>
      </c>
      <c r="X66" s="243">
        <f>Ruimtestaat[[#This Row],[uren / jaar werkdagen]]*Tariefsopbouw!$D$38</f>
        <v>0</v>
      </c>
      <c r="Y66" s="33"/>
      <c r="Z66" s="33">
        <f>IF(Ruimtestaat[[#This Row],[Frequentie weekend]]&gt;0,VALUE(LEFT(Y66,1))*R66,0)</f>
        <v>0</v>
      </c>
      <c r="AA66" s="33">
        <f>IF($Z66&gt;0,VLOOKUP($J66,Ruimtegroepen[],3,FALSE)*VLOOKUP($L66,Vloersoorten[],3,FALSE)*VLOOKUP($Y66,Frequenties[],3,FALSE)*VLOOKUP(#REF!,Locaties[],3,FALSE),0)</f>
        <v>0</v>
      </c>
      <c r="AB66" s="33"/>
      <c r="AC66" s="33"/>
      <c r="AD66" s="33">
        <f>Ruimtestaat[[#This Row],[uren / jaar weekend]]*Tariefsopbouw!$D$40</f>
        <v>0</v>
      </c>
      <c r="AE66" s="86">
        <f>Ruimtestaat[[#This Row],[Prest. (m2 /jaar) weekend]]+Ruimtestaat[[#This Row],[Prest. (m2 /jaar) werkdagen]]</f>
        <v>3675</v>
      </c>
      <c r="AF66" s="86">
        <f>Ruimtestaat[[#This Row],[uren / jaar weekend]]+Ruimtestaat[[#This Row],[uren / jaar werkdagen]]</f>
        <v>0</v>
      </c>
      <c r="AG66" s="87">
        <f>Ruimtestaat[[#This Row],[kosten / jaar weekend]]+Ruimtestaat[[#This Row],[kosten / jaar werkdagen]]</f>
        <v>0</v>
      </c>
      <c r="HL66" s="85"/>
    </row>
    <row r="67" spans="1:220" ht="15" customHeight="1">
      <c r="A67" s="187">
        <v>1</v>
      </c>
      <c r="B67" s="21" t="str">
        <f>VLOOKUP(Ruimtestaat[[#This Row],[Code]],Locaties[#All],2,FALSE)</f>
        <v>Praktijkonderwijs</v>
      </c>
      <c r="C67" s="231" t="str">
        <f>VLOOKUP(Ruimtestaat[[#This Row],[Code]],Locaties[#All],4,FALSE)</f>
        <v>Leliestraat 1</v>
      </c>
      <c r="D67" s="231" t="str">
        <f>VLOOKUP(Ruimtestaat[[#This Row],[Code]],Locaties[#All],5,FALSE)</f>
        <v>7572 VD</v>
      </c>
      <c r="E67" s="187" t="str">
        <f>VLOOKUP(Ruimtestaat[[#This Row],[Code]],Locaties[#All],6,FALSE)</f>
        <v>Oldenzaal</v>
      </c>
      <c r="F67" s="232"/>
      <c r="G67" s="187">
        <v>1</v>
      </c>
      <c r="H67" s="187"/>
      <c r="I67" s="232" t="s">
        <v>596</v>
      </c>
      <c r="J67" s="187">
        <v>10</v>
      </c>
      <c r="K67" s="187" t="str">
        <f>VLOOKUP(Ruimtestaat[[#This Row],[Ruimte code]],Ruimtegroepen[#All],2,FALSE)</f>
        <v>Trappenhuizen/lift</v>
      </c>
      <c r="L67" s="187" t="s">
        <v>109</v>
      </c>
      <c r="M67" s="187" t="s">
        <v>1210</v>
      </c>
      <c r="N67" s="200">
        <v>18</v>
      </c>
      <c r="O67" s="200"/>
      <c r="P67" s="231" t="str">
        <f>VLOOKUP(Ruimtestaat[[#This Row],[Ruimte code]],Ruimtegroepen[#All],4,FALSE)</f>
        <v>V  (Verkeersruimte)</v>
      </c>
      <c r="Q67" s="201"/>
      <c r="R67" s="202">
        <v>42</v>
      </c>
      <c r="S67" s="202" t="s">
        <v>2</v>
      </c>
      <c r="T67" s="202">
        <f>IF(R67&gt;0,IF(RIGHT(Ruimtestaat[[#This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7" s="202">
        <f>IF(T67&gt;0,VLOOKUP($J67,Ruimtegroepen[],3,FALSE)*VLOOKUP($L67,Vloersoorten[],3,FALSE)*VLOOKUP($S67,Frequenties[],3,FALSE)*VLOOKUP($A67,Locaties[],3,FALSE),0)</f>
        <v>0</v>
      </c>
      <c r="V67" s="202">
        <f>Ruimtestaat[[#This Row],[Uitvoeringen werkdagen]]*Ruimtestaat[[#This Row],[Oppervlak (netto)]]</f>
        <v>3780</v>
      </c>
      <c r="W67" s="242">
        <f>IF(U67&gt;0,Ruimtestaat[[#This Row],[Prest. (m2 /jaar) werkdagen]]/Ruimtestaat[[#This Row],[Norm (m2/uur) werkdagen]],0)</f>
        <v>0</v>
      </c>
      <c r="X67" s="243">
        <f>Ruimtestaat[[#This Row],[uren / jaar werkdagen]]*Tariefsopbouw!$D$38</f>
        <v>0</v>
      </c>
      <c r="Y67" s="33"/>
      <c r="Z67" s="33">
        <f>IF(Ruimtestaat[[#This Row],[Frequentie weekend]]&gt;0,VALUE(LEFT(Y67,1))*R67,0)</f>
        <v>0</v>
      </c>
      <c r="AA67" s="33">
        <f>IF($Z67&gt;0,VLOOKUP($J67,Ruimtegroepen[],3,FALSE)*VLOOKUP($L67,Vloersoorten[],3,FALSE)*VLOOKUP($Y67,Frequenties[],3,FALSE)*VLOOKUP(#REF!,Locaties[],3,FALSE),0)</f>
        <v>0</v>
      </c>
      <c r="AB67" s="33"/>
      <c r="AC67" s="33"/>
      <c r="AD67" s="33">
        <f>Ruimtestaat[[#This Row],[uren / jaar weekend]]*Tariefsopbouw!$D$40</f>
        <v>0</v>
      </c>
      <c r="AE67" s="86">
        <f>Ruimtestaat[[#This Row],[Prest. (m2 /jaar) weekend]]+Ruimtestaat[[#This Row],[Prest. (m2 /jaar) werkdagen]]</f>
        <v>3780</v>
      </c>
      <c r="AF67" s="86">
        <f>Ruimtestaat[[#This Row],[uren / jaar weekend]]+Ruimtestaat[[#This Row],[uren / jaar werkdagen]]</f>
        <v>0</v>
      </c>
      <c r="AG67" s="87">
        <f>Ruimtestaat[[#This Row],[kosten / jaar weekend]]+Ruimtestaat[[#This Row],[kosten / jaar werkdagen]]</f>
        <v>0</v>
      </c>
      <c r="HL67" s="85"/>
    </row>
    <row r="68" spans="1:220" ht="15" customHeight="1">
      <c r="A68" s="187">
        <v>1</v>
      </c>
      <c r="B68" s="21" t="str">
        <f>VLOOKUP(Ruimtestaat[[#This Row],[Code]],Locaties[#All],2,FALSE)</f>
        <v>Praktijkonderwijs</v>
      </c>
      <c r="C68" s="231" t="str">
        <f>VLOOKUP(Ruimtestaat[[#This Row],[Code]],Locaties[#All],4,FALSE)</f>
        <v>Leliestraat 1</v>
      </c>
      <c r="D68" s="231" t="str">
        <f>VLOOKUP(Ruimtestaat[[#This Row],[Code]],Locaties[#All],5,FALSE)</f>
        <v>7572 VD</v>
      </c>
      <c r="E68" s="187" t="str">
        <f>VLOOKUP(Ruimtestaat[[#This Row],[Code]],Locaties[#All],6,FALSE)</f>
        <v>Oldenzaal</v>
      </c>
      <c r="F68" s="232"/>
      <c r="G68" s="187">
        <v>1</v>
      </c>
      <c r="H68" s="187"/>
      <c r="I68" s="232" t="s">
        <v>414</v>
      </c>
      <c r="J68" s="187">
        <v>6</v>
      </c>
      <c r="K68" s="187" t="str">
        <f>VLOOKUP(Ruimtestaat[[#This Row],[Ruimte code]],Ruimtegroepen[#All],2,FALSE)</f>
        <v>Gangen/hallen</v>
      </c>
      <c r="L68" s="231" t="s">
        <v>677</v>
      </c>
      <c r="M68" s="187" t="s">
        <v>1200</v>
      </c>
      <c r="N68" s="200">
        <v>36</v>
      </c>
      <c r="O68" s="200"/>
      <c r="P68" s="231" t="str">
        <f>VLOOKUP(Ruimtestaat[[#This Row],[Ruimte code]],Ruimtegroepen[#All],4,FALSE)</f>
        <v>V  (Verkeersruimte)</v>
      </c>
      <c r="Q68" s="201"/>
      <c r="R68" s="202">
        <v>42</v>
      </c>
      <c r="S68" s="202" t="s">
        <v>2</v>
      </c>
      <c r="T68" s="202">
        <f>IF(R68&gt;0,IF(RIGHT(Ruimtestaat[[#This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8" s="202">
        <f>IF(T68&gt;0,VLOOKUP($J68,Ruimtegroepen[],3,FALSE)*VLOOKUP($L68,Vloersoorten[],3,FALSE)*VLOOKUP($S68,Frequenties[],3,FALSE)*VLOOKUP($A68,Locaties[],3,FALSE),0)</f>
        <v>0</v>
      </c>
      <c r="V68" s="202">
        <f>Ruimtestaat[[#This Row],[Uitvoeringen werkdagen]]*Ruimtestaat[[#This Row],[Oppervlak (netto)]]</f>
        <v>7560</v>
      </c>
      <c r="W68" s="242">
        <f>IF(U68&gt;0,Ruimtestaat[[#This Row],[Prest. (m2 /jaar) werkdagen]]/Ruimtestaat[[#This Row],[Norm (m2/uur) werkdagen]],0)</f>
        <v>0</v>
      </c>
      <c r="X68" s="243">
        <f>Ruimtestaat[[#This Row],[uren / jaar werkdagen]]*Tariefsopbouw!$D$38</f>
        <v>0</v>
      </c>
      <c r="Y68" s="33"/>
      <c r="Z68" s="33">
        <f>IF(Ruimtestaat[[#This Row],[Frequentie weekend]]&gt;0,VALUE(LEFT(Y68,1))*R68,0)</f>
        <v>0</v>
      </c>
      <c r="AA68" s="33">
        <f>IF($Z68&gt;0,VLOOKUP($J68,Ruimtegroepen[],3,FALSE)*VLOOKUP($L68,Vloersoorten[],3,FALSE)*VLOOKUP($Y68,Frequenties[],3,FALSE)*VLOOKUP(#REF!,Locaties[],3,FALSE),0)</f>
        <v>0</v>
      </c>
      <c r="AB68" s="33"/>
      <c r="AC68" s="33"/>
      <c r="AD68" s="33">
        <f>Ruimtestaat[[#This Row],[uren / jaar weekend]]*Tariefsopbouw!$D$40</f>
        <v>0</v>
      </c>
      <c r="AE68" s="86">
        <f>Ruimtestaat[[#This Row],[Prest. (m2 /jaar) weekend]]+Ruimtestaat[[#This Row],[Prest. (m2 /jaar) werkdagen]]</f>
        <v>7560</v>
      </c>
      <c r="AF68" s="86">
        <f>Ruimtestaat[[#This Row],[uren / jaar weekend]]+Ruimtestaat[[#This Row],[uren / jaar werkdagen]]</f>
        <v>0</v>
      </c>
      <c r="AG68" s="87">
        <f>Ruimtestaat[[#This Row],[kosten / jaar weekend]]+Ruimtestaat[[#This Row],[kosten / jaar werkdagen]]</f>
        <v>0</v>
      </c>
      <c r="HL68" s="85"/>
    </row>
    <row r="69" spans="1:220" ht="15" customHeight="1">
      <c r="A69" s="187">
        <v>1</v>
      </c>
      <c r="B69" s="21" t="str">
        <f>VLOOKUP(Ruimtestaat[[#This Row],[Code]],Locaties[#All],2,FALSE)</f>
        <v>Praktijkonderwijs</v>
      </c>
      <c r="C69" s="231" t="str">
        <f>VLOOKUP(Ruimtestaat[[#This Row],[Code]],Locaties[#All],4,FALSE)</f>
        <v>Leliestraat 1</v>
      </c>
      <c r="D69" s="231" t="str">
        <f>VLOOKUP(Ruimtestaat[[#This Row],[Code]],Locaties[#All],5,FALSE)</f>
        <v>7572 VD</v>
      </c>
      <c r="E69" s="187" t="str">
        <f>VLOOKUP(Ruimtestaat[[#This Row],[Code]],Locaties[#All],6,FALSE)</f>
        <v>Oldenzaal</v>
      </c>
      <c r="F69" s="232"/>
      <c r="G69" s="187">
        <v>1</v>
      </c>
      <c r="H69" s="187"/>
      <c r="I69" s="232" t="s">
        <v>414</v>
      </c>
      <c r="J69" s="187">
        <v>6</v>
      </c>
      <c r="K69" s="187" t="str">
        <f>VLOOKUP(Ruimtestaat[[#This Row],[Ruimte code]],Ruimtegroepen[#All],2,FALSE)</f>
        <v>Gangen/hallen</v>
      </c>
      <c r="L69" s="231" t="s">
        <v>677</v>
      </c>
      <c r="M69" s="187" t="s">
        <v>1200</v>
      </c>
      <c r="N69" s="200">
        <v>24.1</v>
      </c>
      <c r="O69" s="200"/>
      <c r="P69" s="231" t="str">
        <f>VLOOKUP(Ruimtestaat[[#This Row],[Ruimte code]],Ruimtegroepen[#All],4,FALSE)</f>
        <v>V  (Verkeersruimte)</v>
      </c>
      <c r="Q69" s="201"/>
      <c r="R69" s="202">
        <v>42</v>
      </c>
      <c r="S69" s="202" t="s">
        <v>2</v>
      </c>
      <c r="T69" s="202">
        <f>IF(R69&gt;0,IF(RIGHT(Ruimtestaat[[#This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9" s="202">
        <f>IF(T69&gt;0,VLOOKUP($J69,Ruimtegroepen[],3,FALSE)*VLOOKUP($L69,Vloersoorten[],3,FALSE)*VLOOKUP($S69,Frequenties[],3,FALSE)*VLOOKUP($A69,Locaties[],3,FALSE),0)</f>
        <v>0</v>
      </c>
      <c r="V69" s="202">
        <f>Ruimtestaat[[#This Row],[Uitvoeringen werkdagen]]*Ruimtestaat[[#This Row],[Oppervlak (netto)]]</f>
        <v>5061</v>
      </c>
      <c r="W69" s="242">
        <f>IF(U69&gt;0,Ruimtestaat[[#This Row],[Prest. (m2 /jaar) werkdagen]]/Ruimtestaat[[#This Row],[Norm (m2/uur) werkdagen]],0)</f>
        <v>0</v>
      </c>
      <c r="X69" s="243">
        <f>Ruimtestaat[[#This Row],[uren / jaar werkdagen]]*Tariefsopbouw!$D$38</f>
        <v>0</v>
      </c>
      <c r="Y69" s="33"/>
      <c r="Z69" s="33">
        <f>IF(Ruimtestaat[[#This Row],[Frequentie weekend]]&gt;0,VALUE(LEFT(Y69,1))*R69,0)</f>
        <v>0</v>
      </c>
      <c r="AA69" s="33">
        <f>IF($Z69&gt;0,VLOOKUP($J69,Ruimtegroepen[],3,FALSE)*VLOOKUP($L69,Vloersoorten[],3,FALSE)*VLOOKUP($Y69,Frequenties[],3,FALSE)*VLOOKUP(#REF!,Locaties[],3,FALSE),0)</f>
        <v>0</v>
      </c>
      <c r="AB69" s="33"/>
      <c r="AC69" s="33"/>
      <c r="AD69" s="33">
        <f>Ruimtestaat[[#This Row],[uren / jaar weekend]]*Tariefsopbouw!$D$40</f>
        <v>0</v>
      </c>
      <c r="AE69" s="86">
        <f>Ruimtestaat[[#This Row],[Prest. (m2 /jaar) weekend]]+Ruimtestaat[[#This Row],[Prest. (m2 /jaar) werkdagen]]</f>
        <v>5061</v>
      </c>
      <c r="AF69" s="86">
        <f>Ruimtestaat[[#This Row],[uren / jaar weekend]]+Ruimtestaat[[#This Row],[uren / jaar werkdagen]]</f>
        <v>0</v>
      </c>
      <c r="AG69" s="87">
        <f>Ruimtestaat[[#This Row],[kosten / jaar weekend]]+Ruimtestaat[[#This Row],[kosten / jaar werkdagen]]</f>
        <v>0</v>
      </c>
      <c r="HL69" s="85"/>
    </row>
    <row r="70" spans="1:220" ht="15" customHeight="1">
      <c r="A70" s="187">
        <v>1</v>
      </c>
      <c r="B70" s="21" t="str">
        <f>VLOOKUP(Ruimtestaat[[#This Row],[Code]],Locaties[#All],2,FALSE)</f>
        <v>Praktijkonderwijs</v>
      </c>
      <c r="C70" s="231" t="str">
        <f>VLOOKUP(Ruimtestaat[[#This Row],[Code]],Locaties[#All],4,FALSE)</f>
        <v>Leliestraat 1</v>
      </c>
      <c r="D70" s="231" t="str">
        <f>VLOOKUP(Ruimtestaat[[#This Row],[Code]],Locaties[#All],5,FALSE)</f>
        <v>7572 VD</v>
      </c>
      <c r="E70" s="187" t="str">
        <f>VLOOKUP(Ruimtestaat[[#This Row],[Code]],Locaties[#All],6,FALSE)</f>
        <v>Oldenzaal</v>
      </c>
      <c r="F70" s="232"/>
      <c r="G70" s="187">
        <v>1</v>
      </c>
      <c r="H70" s="187"/>
      <c r="I70" s="232" t="s">
        <v>414</v>
      </c>
      <c r="J70" s="187">
        <v>6</v>
      </c>
      <c r="K70" s="187" t="str">
        <f>VLOOKUP(Ruimtestaat[[#This Row],[Ruimte code]],Ruimtegroepen[#All],2,FALSE)</f>
        <v>Gangen/hallen</v>
      </c>
      <c r="L70" s="231" t="s">
        <v>677</v>
      </c>
      <c r="M70" s="187" t="s">
        <v>1200</v>
      </c>
      <c r="N70" s="200">
        <v>72.2</v>
      </c>
      <c r="O70" s="200"/>
      <c r="P70" s="231" t="str">
        <f>VLOOKUP(Ruimtestaat[[#This Row],[Ruimte code]],Ruimtegroepen[#All],4,FALSE)</f>
        <v>V  (Verkeersruimte)</v>
      </c>
      <c r="Q70" s="201"/>
      <c r="R70" s="202">
        <v>42</v>
      </c>
      <c r="S70" s="202" t="s">
        <v>2</v>
      </c>
      <c r="T70" s="202">
        <f>IF(R70&gt;0,IF(RIGHT(Ruimtestaat[[#This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0" s="202">
        <f>IF(T70&gt;0,VLOOKUP($J70,Ruimtegroepen[],3,FALSE)*VLOOKUP($L70,Vloersoorten[],3,FALSE)*VLOOKUP($S70,Frequenties[],3,FALSE)*VLOOKUP($A70,Locaties[],3,FALSE),0)</f>
        <v>0</v>
      </c>
      <c r="V70" s="202">
        <f>Ruimtestaat[[#This Row],[Uitvoeringen werkdagen]]*Ruimtestaat[[#This Row],[Oppervlak (netto)]]</f>
        <v>15162</v>
      </c>
      <c r="W70" s="242">
        <f>IF(U70&gt;0,Ruimtestaat[[#This Row],[Prest. (m2 /jaar) werkdagen]]/Ruimtestaat[[#This Row],[Norm (m2/uur) werkdagen]],0)</f>
        <v>0</v>
      </c>
      <c r="X70" s="243">
        <f>Ruimtestaat[[#This Row],[uren / jaar werkdagen]]*Tariefsopbouw!$D$38</f>
        <v>0</v>
      </c>
      <c r="Y70" s="33"/>
      <c r="Z70" s="33">
        <f>IF(Ruimtestaat[[#This Row],[Frequentie weekend]]&gt;0,VALUE(LEFT(Y70,1))*R70,0)</f>
        <v>0</v>
      </c>
      <c r="AA70" s="33">
        <f>IF($Z70&gt;0,VLOOKUP($J70,Ruimtegroepen[],3,FALSE)*VLOOKUP($L70,Vloersoorten[],3,FALSE)*VLOOKUP($Y70,Frequenties[],3,FALSE)*VLOOKUP(#REF!,Locaties[],3,FALSE),0)</f>
        <v>0</v>
      </c>
      <c r="AB70" s="33"/>
      <c r="AC70" s="33"/>
      <c r="AD70" s="33">
        <f>Ruimtestaat[[#This Row],[uren / jaar weekend]]*Tariefsopbouw!$D$40</f>
        <v>0</v>
      </c>
      <c r="AE70" s="86">
        <f>Ruimtestaat[[#This Row],[Prest. (m2 /jaar) weekend]]+Ruimtestaat[[#This Row],[Prest. (m2 /jaar) werkdagen]]</f>
        <v>15162</v>
      </c>
      <c r="AF70" s="86">
        <f>Ruimtestaat[[#This Row],[uren / jaar weekend]]+Ruimtestaat[[#This Row],[uren / jaar werkdagen]]</f>
        <v>0</v>
      </c>
      <c r="AG70" s="87">
        <f>Ruimtestaat[[#This Row],[kosten / jaar weekend]]+Ruimtestaat[[#This Row],[kosten / jaar werkdagen]]</f>
        <v>0</v>
      </c>
      <c r="HL70" s="85"/>
    </row>
    <row r="71" spans="1:220" ht="15" customHeight="1">
      <c r="A71" s="187">
        <v>1</v>
      </c>
      <c r="B71" s="21" t="str">
        <f>VLOOKUP(Ruimtestaat[[#This Row],[Code]],Locaties[#All],2,FALSE)</f>
        <v>Praktijkonderwijs</v>
      </c>
      <c r="C71" s="231" t="str">
        <f>VLOOKUP(Ruimtestaat[[#This Row],[Code]],Locaties[#All],4,FALSE)</f>
        <v>Leliestraat 1</v>
      </c>
      <c r="D71" s="231" t="str">
        <f>VLOOKUP(Ruimtestaat[[#This Row],[Code]],Locaties[#All],5,FALSE)</f>
        <v>7572 VD</v>
      </c>
      <c r="E71" s="187" t="str">
        <f>VLOOKUP(Ruimtestaat[[#This Row],[Code]],Locaties[#All],6,FALSE)</f>
        <v>Oldenzaal</v>
      </c>
      <c r="F71" s="232"/>
      <c r="G71" s="187">
        <v>1</v>
      </c>
      <c r="H71" s="187" t="s">
        <v>407</v>
      </c>
      <c r="I71" s="232" t="s">
        <v>501</v>
      </c>
      <c r="J71" s="187">
        <v>16</v>
      </c>
      <c r="K71" s="187" t="str">
        <f>VLOOKUP(Ruimtestaat[[#This Row],[Ruimte code]],Ruimtegroepen[#All],2,FALSE)</f>
        <v>Leslokalen/computerlokaal</v>
      </c>
      <c r="L71" s="187" t="s">
        <v>109</v>
      </c>
      <c r="M71" s="187" t="s">
        <v>1203</v>
      </c>
      <c r="N71" s="200">
        <v>53</v>
      </c>
      <c r="O71" s="200"/>
      <c r="P71" s="231" t="str">
        <f>VLOOKUP(Ruimtestaat[[#This Row],[Ruimte code]],Ruimtegroepen[#All],4,FALSE)</f>
        <v>L  (Lesruimte)</v>
      </c>
      <c r="Q71" s="201"/>
      <c r="R71" s="202">
        <v>42</v>
      </c>
      <c r="S71" s="202" t="s">
        <v>2</v>
      </c>
      <c r="T71" s="202">
        <f>IF(R71&gt;0,IF(RIGHT(Ruimtestaat[[#This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1" s="202">
        <f>IF(T71&gt;0,VLOOKUP($J71,Ruimtegroepen[],3,FALSE)*VLOOKUP($L71,Vloersoorten[],3,FALSE)*VLOOKUP($S71,Frequenties[],3,FALSE)*VLOOKUP($A71,Locaties[],3,FALSE),0)</f>
        <v>0</v>
      </c>
      <c r="V71" s="202">
        <f>Ruimtestaat[[#This Row],[Uitvoeringen werkdagen]]*Ruimtestaat[[#This Row],[Oppervlak (netto)]]</f>
        <v>11130</v>
      </c>
      <c r="W71" s="242">
        <f>IF(U71&gt;0,Ruimtestaat[[#This Row],[Prest. (m2 /jaar) werkdagen]]/Ruimtestaat[[#This Row],[Norm (m2/uur) werkdagen]],0)</f>
        <v>0</v>
      </c>
      <c r="X71" s="243">
        <f>Ruimtestaat[[#This Row],[uren / jaar werkdagen]]*Tariefsopbouw!$D$38</f>
        <v>0</v>
      </c>
      <c r="Y71" s="33"/>
      <c r="Z71" s="33">
        <f>IF(Ruimtestaat[[#This Row],[Frequentie weekend]]&gt;0,VALUE(LEFT(Y71,1))*R71,0)</f>
        <v>0</v>
      </c>
      <c r="AA71" s="33">
        <f>IF($Z71&gt;0,VLOOKUP($J71,Ruimtegroepen[],3,FALSE)*VLOOKUP($L71,Vloersoorten[],3,FALSE)*VLOOKUP($Y71,Frequenties[],3,FALSE)*VLOOKUP(#REF!,Locaties[],3,FALSE),0)</f>
        <v>0</v>
      </c>
      <c r="AB71" s="33"/>
      <c r="AC71" s="33"/>
      <c r="AD71" s="33">
        <f>Ruimtestaat[[#This Row],[uren / jaar weekend]]*Tariefsopbouw!$D$40</f>
        <v>0</v>
      </c>
      <c r="AE71" s="86">
        <f>Ruimtestaat[[#This Row],[Prest. (m2 /jaar) weekend]]+Ruimtestaat[[#This Row],[Prest. (m2 /jaar) werkdagen]]</f>
        <v>11130</v>
      </c>
      <c r="AF71" s="86">
        <f>Ruimtestaat[[#This Row],[uren / jaar weekend]]+Ruimtestaat[[#This Row],[uren / jaar werkdagen]]</f>
        <v>0</v>
      </c>
      <c r="AG71" s="87">
        <f>Ruimtestaat[[#This Row],[kosten / jaar weekend]]+Ruimtestaat[[#This Row],[kosten / jaar werkdagen]]</f>
        <v>0</v>
      </c>
      <c r="HL71" s="85"/>
    </row>
    <row r="72" spans="1:220" ht="15" customHeight="1">
      <c r="A72" s="187">
        <v>1</v>
      </c>
      <c r="B72" s="21" t="str">
        <f>VLOOKUP(Ruimtestaat[[#This Row],[Code]],Locaties[#All],2,FALSE)</f>
        <v>Praktijkonderwijs</v>
      </c>
      <c r="C72" s="231" t="str">
        <f>VLOOKUP(Ruimtestaat[[#This Row],[Code]],Locaties[#All],4,FALSE)</f>
        <v>Leliestraat 1</v>
      </c>
      <c r="D72" s="231" t="str">
        <f>VLOOKUP(Ruimtestaat[[#This Row],[Code]],Locaties[#All],5,FALSE)</f>
        <v>7572 VD</v>
      </c>
      <c r="E72" s="187" t="str">
        <f>VLOOKUP(Ruimtestaat[[#This Row],[Code]],Locaties[#All],6,FALSE)</f>
        <v>Oldenzaal</v>
      </c>
      <c r="F72" s="232"/>
      <c r="G72" s="187">
        <v>1</v>
      </c>
      <c r="H72" s="187" t="s">
        <v>408</v>
      </c>
      <c r="I72" s="232" t="s">
        <v>501</v>
      </c>
      <c r="J72" s="187">
        <v>16</v>
      </c>
      <c r="K72" s="187" t="str">
        <f>VLOOKUP(Ruimtestaat[[#This Row],[Ruimte code]],Ruimtegroepen[#All],2,FALSE)</f>
        <v>Leslokalen/computerlokaal</v>
      </c>
      <c r="L72" s="187" t="s">
        <v>109</v>
      </c>
      <c r="M72" s="187" t="s">
        <v>1203</v>
      </c>
      <c r="N72" s="200">
        <v>53</v>
      </c>
      <c r="O72" s="200"/>
      <c r="P72" s="231" t="str">
        <f>VLOOKUP(Ruimtestaat[[#This Row],[Ruimte code]],Ruimtegroepen[#All],4,FALSE)</f>
        <v>L  (Lesruimte)</v>
      </c>
      <c r="Q72" s="201"/>
      <c r="R72" s="202">
        <v>42</v>
      </c>
      <c r="S72" s="202" t="s">
        <v>2</v>
      </c>
      <c r="T72" s="202">
        <f>IF(R72&gt;0,IF(RIGHT(Ruimtestaat[[#This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2" s="202">
        <f>IF(T72&gt;0,VLOOKUP($J72,Ruimtegroepen[],3,FALSE)*VLOOKUP($L72,Vloersoorten[],3,FALSE)*VLOOKUP($S72,Frequenties[],3,FALSE)*VLOOKUP($A72,Locaties[],3,FALSE),0)</f>
        <v>0</v>
      </c>
      <c r="V72" s="202">
        <f>Ruimtestaat[[#This Row],[Uitvoeringen werkdagen]]*Ruimtestaat[[#This Row],[Oppervlak (netto)]]</f>
        <v>11130</v>
      </c>
      <c r="W72" s="242">
        <f>IF(U72&gt;0,Ruimtestaat[[#This Row],[Prest. (m2 /jaar) werkdagen]]/Ruimtestaat[[#This Row],[Norm (m2/uur) werkdagen]],0)</f>
        <v>0</v>
      </c>
      <c r="X72" s="243">
        <f>Ruimtestaat[[#This Row],[uren / jaar werkdagen]]*Tariefsopbouw!$D$38</f>
        <v>0</v>
      </c>
      <c r="Y72" s="33"/>
      <c r="Z72" s="33">
        <f>IF(Ruimtestaat[[#This Row],[Frequentie weekend]]&gt;0,VALUE(LEFT(Y72,1))*R72,0)</f>
        <v>0</v>
      </c>
      <c r="AA72" s="33">
        <f>IF($Z72&gt;0,VLOOKUP($J72,Ruimtegroepen[],3,FALSE)*VLOOKUP($L72,Vloersoorten[],3,FALSE)*VLOOKUP($Y72,Frequenties[],3,FALSE)*VLOOKUP(#REF!,Locaties[],3,FALSE),0)</f>
        <v>0</v>
      </c>
      <c r="AB72" s="33"/>
      <c r="AC72" s="33"/>
      <c r="AD72" s="33">
        <f>Ruimtestaat[[#This Row],[uren / jaar weekend]]*Tariefsopbouw!$D$40</f>
        <v>0</v>
      </c>
      <c r="AE72" s="86">
        <f>Ruimtestaat[[#This Row],[Prest. (m2 /jaar) weekend]]+Ruimtestaat[[#This Row],[Prest. (m2 /jaar) werkdagen]]</f>
        <v>11130</v>
      </c>
      <c r="AF72" s="86">
        <f>Ruimtestaat[[#This Row],[uren / jaar weekend]]+Ruimtestaat[[#This Row],[uren / jaar werkdagen]]</f>
        <v>0</v>
      </c>
      <c r="AG72" s="87">
        <f>Ruimtestaat[[#This Row],[kosten / jaar weekend]]+Ruimtestaat[[#This Row],[kosten / jaar werkdagen]]</f>
        <v>0</v>
      </c>
      <c r="HL72" s="85"/>
    </row>
    <row r="73" spans="1:220" ht="15" customHeight="1">
      <c r="A73" s="187">
        <v>1</v>
      </c>
      <c r="B73" s="21" t="str">
        <f>VLOOKUP(Ruimtestaat[[#This Row],[Code]],Locaties[#All],2,FALSE)</f>
        <v>Praktijkonderwijs</v>
      </c>
      <c r="C73" s="231" t="str">
        <f>VLOOKUP(Ruimtestaat[[#This Row],[Code]],Locaties[#All],4,FALSE)</f>
        <v>Leliestraat 1</v>
      </c>
      <c r="D73" s="231" t="str">
        <f>VLOOKUP(Ruimtestaat[[#This Row],[Code]],Locaties[#All],5,FALSE)</f>
        <v>7572 VD</v>
      </c>
      <c r="E73" s="187" t="str">
        <f>VLOOKUP(Ruimtestaat[[#This Row],[Code]],Locaties[#All],6,FALSE)</f>
        <v>Oldenzaal</v>
      </c>
      <c r="F73" s="232"/>
      <c r="G73" s="187">
        <v>1</v>
      </c>
      <c r="H73" s="187" t="s">
        <v>410</v>
      </c>
      <c r="I73" s="232" t="s">
        <v>509</v>
      </c>
      <c r="J73" s="231">
        <v>5</v>
      </c>
      <c r="K73" s="231" t="str">
        <f>VLOOKUP(Ruimtestaat[[#This Row],[Ruimte code]],Ruimtegroepen[#All],2,FALSE)</f>
        <v>Sanitair</v>
      </c>
      <c r="L73" s="187" t="s">
        <v>109</v>
      </c>
      <c r="M73" s="187" t="s">
        <v>1203</v>
      </c>
      <c r="N73" s="200">
        <v>1.1499999999999999</v>
      </c>
      <c r="O73" s="200"/>
      <c r="P73" s="231" t="str">
        <f>VLOOKUP(Ruimtestaat[[#This Row],[Ruimte code]],Ruimtegroepen[#All],4,FALSE)</f>
        <v>S  (Sanitair)</v>
      </c>
      <c r="Q73" s="201"/>
      <c r="R73" s="202">
        <v>42</v>
      </c>
      <c r="S73" s="202" t="s">
        <v>2</v>
      </c>
      <c r="T73" s="202">
        <f>IF(R73&gt;0,IF(RIGHT(Ruimtestaat[[#This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3" s="202">
        <f>IF(T73&gt;0,VLOOKUP($J73,Ruimtegroepen[],3,FALSE)*VLOOKUP($L73,Vloersoorten[],3,FALSE)*VLOOKUP($S73,Frequenties[],3,FALSE)*VLOOKUP($A73,Locaties[],3,FALSE),0)</f>
        <v>0</v>
      </c>
      <c r="V73" s="202">
        <f>Ruimtestaat[[#This Row],[Uitvoeringen werkdagen]]*Ruimtestaat[[#This Row],[Oppervlak (netto)]]</f>
        <v>241.49999999999997</v>
      </c>
      <c r="W73" s="242">
        <f>IF(U73&gt;0,Ruimtestaat[[#This Row],[Prest. (m2 /jaar) werkdagen]]/Ruimtestaat[[#This Row],[Norm (m2/uur) werkdagen]],0)</f>
        <v>0</v>
      </c>
      <c r="X73" s="243">
        <f>Ruimtestaat[[#This Row],[uren / jaar werkdagen]]*Tariefsopbouw!$D$38</f>
        <v>0</v>
      </c>
      <c r="Y73" s="33"/>
      <c r="Z73" s="33">
        <f>IF(Ruimtestaat[[#This Row],[Frequentie weekend]]&gt;0,VALUE(LEFT(Y73,1))*R73,0)</f>
        <v>0</v>
      </c>
      <c r="AA73" s="33">
        <f>IF($Z73&gt;0,VLOOKUP($J73,Ruimtegroepen[],3,FALSE)*VLOOKUP($L73,Vloersoorten[],3,FALSE)*VLOOKUP($Y73,Frequenties[],3,FALSE)*VLOOKUP(#REF!,Locaties[],3,FALSE),0)</f>
        <v>0</v>
      </c>
      <c r="AB73" s="33"/>
      <c r="AC73" s="33"/>
      <c r="AD73" s="33">
        <f>Ruimtestaat[[#This Row],[uren / jaar weekend]]*Tariefsopbouw!$D$40</f>
        <v>0</v>
      </c>
      <c r="AE73" s="86">
        <f>Ruimtestaat[[#This Row],[Prest. (m2 /jaar) weekend]]+Ruimtestaat[[#This Row],[Prest. (m2 /jaar) werkdagen]]</f>
        <v>241.49999999999997</v>
      </c>
      <c r="AF73" s="86">
        <f>Ruimtestaat[[#This Row],[uren / jaar weekend]]+Ruimtestaat[[#This Row],[uren / jaar werkdagen]]</f>
        <v>0</v>
      </c>
      <c r="AG73" s="87">
        <f>Ruimtestaat[[#This Row],[kosten / jaar weekend]]+Ruimtestaat[[#This Row],[kosten / jaar werkdagen]]</f>
        <v>0</v>
      </c>
      <c r="HL73" s="85"/>
    </row>
    <row r="74" spans="1:220" ht="15" customHeight="1">
      <c r="A74" s="187">
        <v>1</v>
      </c>
      <c r="B74" s="21" t="str">
        <f>VLOOKUP(Ruimtestaat[[#This Row],[Code]],Locaties[#All],2,FALSE)</f>
        <v>Praktijkonderwijs</v>
      </c>
      <c r="C74" s="231" t="str">
        <f>VLOOKUP(Ruimtestaat[[#This Row],[Code]],Locaties[#All],4,FALSE)</f>
        <v>Leliestraat 1</v>
      </c>
      <c r="D74" s="231" t="str">
        <f>VLOOKUP(Ruimtestaat[[#This Row],[Code]],Locaties[#All],5,FALSE)</f>
        <v>7572 VD</v>
      </c>
      <c r="E74" s="187" t="str">
        <f>VLOOKUP(Ruimtestaat[[#This Row],[Code]],Locaties[#All],6,FALSE)</f>
        <v>Oldenzaal</v>
      </c>
      <c r="F74" s="232"/>
      <c r="G74" s="187">
        <v>1</v>
      </c>
      <c r="H74" s="187" t="s">
        <v>411</v>
      </c>
      <c r="I74" s="232" t="s">
        <v>509</v>
      </c>
      <c r="J74" s="202">
        <v>5</v>
      </c>
      <c r="K74" s="202" t="str">
        <f>VLOOKUP(Ruimtestaat[[#This Row],[Ruimte code]],Ruimtegroepen[#All],2,FALSE)</f>
        <v>Sanitair</v>
      </c>
      <c r="L74" s="187" t="s">
        <v>109</v>
      </c>
      <c r="M74" s="187" t="s">
        <v>1203</v>
      </c>
      <c r="N74" s="200">
        <v>1.1499999999999999</v>
      </c>
      <c r="O74" s="200"/>
      <c r="P74" s="231" t="str">
        <f>VLOOKUP(Ruimtestaat[[#This Row],[Ruimte code]],Ruimtegroepen[#All],4,FALSE)</f>
        <v>S  (Sanitair)</v>
      </c>
      <c r="Q74" s="201"/>
      <c r="R74" s="202">
        <v>42</v>
      </c>
      <c r="S74" s="202" t="s">
        <v>2</v>
      </c>
      <c r="T74" s="202">
        <f>IF(R74&gt;0,IF(RIGHT(Ruimtestaat[[#This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4" s="202">
        <f>IF(T74&gt;0,VLOOKUP($J74,Ruimtegroepen[],3,FALSE)*VLOOKUP($L74,Vloersoorten[],3,FALSE)*VLOOKUP($S74,Frequenties[],3,FALSE)*VLOOKUP($A74,Locaties[],3,FALSE),0)</f>
        <v>0</v>
      </c>
      <c r="V74" s="202">
        <f>Ruimtestaat[[#This Row],[Uitvoeringen werkdagen]]*Ruimtestaat[[#This Row],[Oppervlak (netto)]]</f>
        <v>241.49999999999997</v>
      </c>
      <c r="W74" s="242">
        <f>IF(U74&gt;0,Ruimtestaat[[#This Row],[Prest. (m2 /jaar) werkdagen]]/Ruimtestaat[[#This Row],[Norm (m2/uur) werkdagen]],0)</f>
        <v>0</v>
      </c>
      <c r="X74" s="243">
        <f>Ruimtestaat[[#This Row],[uren / jaar werkdagen]]*Tariefsopbouw!$D$38</f>
        <v>0</v>
      </c>
      <c r="Y74" s="33"/>
      <c r="Z74" s="33">
        <f>IF(Ruimtestaat[[#This Row],[Frequentie weekend]]&gt;0,VALUE(LEFT(Y74,1))*R74,0)</f>
        <v>0</v>
      </c>
      <c r="AA74" s="33">
        <f>IF($Z74&gt;0,VLOOKUP($J74,Ruimtegroepen[],3,FALSE)*VLOOKUP($L74,Vloersoorten[],3,FALSE)*VLOOKUP($Y74,Frequenties[],3,FALSE)*VLOOKUP(#REF!,Locaties[],3,FALSE),0)</f>
        <v>0</v>
      </c>
      <c r="AB74" s="33"/>
      <c r="AC74" s="33"/>
      <c r="AD74" s="33">
        <f>Ruimtestaat[[#This Row],[uren / jaar weekend]]*Tariefsopbouw!$D$40</f>
        <v>0</v>
      </c>
      <c r="AE74" s="86">
        <f>Ruimtestaat[[#This Row],[Prest. (m2 /jaar) weekend]]+Ruimtestaat[[#This Row],[Prest. (m2 /jaar) werkdagen]]</f>
        <v>241.49999999999997</v>
      </c>
      <c r="AF74" s="86">
        <f>Ruimtestaat[[#This Row],[uren / jaar weekend]]+Ruimtestaat[[#This Row],[uren / jaar werkdagen]]</f>
        <v>0</v>
      </c>
      <c r="AG74" s="87">
        <f>Ruimtestaat[[#This Row],[kosten / jaar weekend]]+Ruimtestaat[[#This Row],[kosten / jaar werkdagen]]</f>
        <v>0</v>
      </c>
      <c r="HL74" s="85"/>
    </row>
    <row r="75" spans="1:220" ht="15" customHeight="1">
      <c r="A75" s="187">
        <v>1</v>
      </c>
      <c r="B75" s="21" t="str">
        <f>VLOOKUP(Ruimtestaat[[#This Row],[Code]],Locaties[#All],2,FALSE)</f>
        <v>Praktijkonderwijs</v>
      </c>
      <c r="C75" s="231" t="str">
        <f>VLOOKUP(Ruimtestaat[[#This Row],[Code]],Locaties[#All],4,FALSE)</f>
        <v>Leliestraat 1</v>
      </c>
      <c r="D75" s="231" t="str">
        <f>VLOOKUP(Ruimtestaat[[#This Row],[Code]],Locaties[#All],5,FALSE)</f>
        <v>7572 VD</v>
      </c>
      <c r="E75" s="187" t="str">
        <f>VLOOKUP(Ruimtestaat[[#This Row],[Code]],Locaties[#All],6,FALSE)</f>
        <v>Oldenzaal</v>
      </c>
      <c r="F75" s="232"/>
      <c r="G75" s="187">
        <v>1</v>
      </c>
      <c r="H75" s="187" t="s">
        <v>412</v>
      </c>
      <c r="I75" s="232" t="s">
        <v>509</v>
      </c>
      <c r="J75" s="187">
        <v>5</v>
      </c>
      <c r="K75" s="187" t="str">
        <f>VLOOKUP(Ruimtestaat[[#This Row],[Ruimte code]],Ruimtegroepen[#All],2,FALSE)</f>
        <v>Sanitair</v>
      </c>
      <c r="L75" s="187" t="s">
        <v>109</v>
      </c>
      <c r="M75" s="187" t="s">
        <v>1203</v>
      </c>
      <c r="N75" s="200">
        <v>2.6</v>
      </c>
      <c r="O75" s="200"/>
      <c r="P75" s="231" t="str">
        <f>VLOOKUP(Ruimtestaat[[#This Row],[Ruimte code]],Ruimtegroepen[#All],4,FALSE)</f>
        <v>S  (Sanitair)</v>
      </c>
      <c r="Q75" s="201"/>
      <c r="R75" s="202">
        <v>42</v>
      </c>
      <c r="S75" s="202" t="s">
        <v>2</v>
      </c>
      <c r="T75" s="202">
        <f>IF(R75&gt;0,IF(RIGHT(Ruimtestaat[[#This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5" s="202">
        <f>IF(T75&gt;0,VLOOKUP($J75,Ruimtegroepen[],3,FALSE)*VLOOKUP($L75,Vloersoorten[],3,FALSE)*VLOOKUP($S75,Frequenties[],3,FALSE)*VLOOKUP($A75,Locaties[],3,FALSE),0)</f>
        <v>0</v>
      </c>
      <c r="V75" s="202">
        <f>Ruimtestaat[[#This Row],[Uitvoeringen werkdagen]]*Ruimtestaat[[#This Row],[Oppervlak (netto)]]</f>
        <v>546</v>
      </c>
      <c r="W75" s="242">
        <f>IF(U75&gt;0,Ruimtestaat[[#This Row],[Prest. (m2 /jaar) werkdagen]]/Ruimtestaat[[#This Row],[Norm (m2/uur) werkdagen]],0)</f>
        <v>0</v>
      </c>
      <c r="X75" s="243">
        <f>Ruimtestaat[[#This Row],[uren / jaar werkdagen]]*Tariefsopbouw!$D$38</f>
        <v>0</v>
      </c>
      <c r="Y75" s="33"/>
      <c r="Z75" s="33">
        <f>IF(Ruimtestaat[[#This Row],[Frequentie weekend]]&gt;0,VALUE(LEFT(Y75,1))*R75,0)</f>
        <v>0</v>
      </c>
      <c r="AA75" s="33">
        <f>IF($Z75&gt;0,VLOOKUP($J75,Ruimtegroepen[],3,FALSE)*VLOOKUP($L75,Vloersoorten[],3,FALSE)*VLOOKUP($Y75,Frequenties[],3,FALSE)*VLOOKUP(#REF!,Locaties[],3,FALSE),0)</f>
        <v>0</v>
      </c>
      <c r="AB75" s="33"/>
      <c r="AC75" s="33"/>
      <c r="AD75" s="33">
        <f>Ruimtestaat[[#This Row],[uren / jaar weekend]]*Tariefsopbouw!$D$40</f>
        <v>0</v>
      </c>
      <c r="AE75" s="86">
        <f>Ruimtestaat[[#This Row],[Prest. (m2 /jaar) weekend]]+Ruimtestaat[[#This Row],[Prest. (m2 /jaar) werkdagen]]</f>
        <v>546</v>
      </c>
      <c r="AF75" s="86">
        <f>Ruimtestaat[[#This Row],[uren / jaar weekend]]+Ruimtestaat[[#This Row],[uren / jaar werkdagen]]</f>
        <v>0</v>
      </c>
      <c r="AG75" s="87">
        <f>Ruimtestaat[[#This Row],[kosten / jaar weekend]]+Ruimtestaat[[#This Row],[kosten / jaar werkdagen]]</f>
        <v>0</v>
      </c>
      <c r="HL75" s="85"/>
    </row>
    <row r="76" spans="1:220" ht="15" customHeight="1">
      <c r="A76" s="187">
        <v>1</v>
      </c>
      <c r="B76" s="21" t="str">
        <f>VLOOKUP(Ruimtestaat[[#This Row],[Code]],Locaties[#All],2,FALSE)</f>
        <v>Praktijkonderwijs</v>
      </c>
      <c r="C76" s="231" t="str">
        <f>VLOOKUP(Ruimtestaat[[#This Row],[Code]],Locaties[#All],4,FALSE)</f>
        <v>Leliestraat 1</v>
      </c>
      <c r="D76" s="231" t="str">
        <f>VLOOKUP(Ruimtestaat[[#This Row],[Code]],Locaties[#All],5,FALSE)</f>
        <v>7572 VD</v>
      </c>
      <c r="E76" s="187" t="str">
        <f>VLOOKUP(Ruimtestaat[[#This Row],[Code]],Locaties[#All],6,FALSE)</f>
        <v>Oldenzaal</v>
      </c>
      <c r="F76" s="232"/>
      <c r="G76" s="187">
        <v>1</v>
      </c>
      <c r="H76" s="187" t="s">
        <v>413</v>
      </c>
      <c r="I76" s="232" t="s">
        <v>414</v>
      </c>
      <c r="J76" s="187">
        <v>6</v>
      </c>
      <c r="K76" s="187" t="str">
        <f>VLOOKUP(Ruimtestaat[[#This Row],[Ruimte code]],Ruimtegroepen[#All],2,FALSE)</f>
        <v>Gangen/hallen</v>
      </c>
      <c r="L76" s="187" t="s">
        <v>109</v>
      </c>
      <c r="M76" s="187" t="s">
        <v>1203</v>
      </c>
      <c r="N76" s="200">
        <v>9.9</v>
      </c>
      <c r="O76" s="200"/>
      <c r="P76" s="231" t="str">
        <f>VLOOKUP(Ruimtestaat[[#This Row],[Ruimte code]],Ruimtegroepen[#All],4,FALSE)</f>
        <v>V  (Verkeersruimte)</v>
      </c>
      <c r="Q76" s="201"/>
      <c r="R76" s="202">
        <v>42</v>
      </c>
      <c r="S76" s="202" t="s">
        <v>2</v>
      </c>
      <c r="T76" s="202">
        <f>IF(R76&gt;0,IF(RIGHT(Ruimtestaat[[#This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6" s="202">
        <f>IF(T76&gt;0,VLOOKUP($J76,Ruimtegroepen[],3,FALSE)*VLOOKUP($L76,Vloersoorten[],3,FALSE)*VLOOKUP($S76,Frequenties[],3,FALSE)*VLOOKUP($A76,Locaties[],3,FALSE),0)</f>
        <v>0</v>
      </c>
      <c r="V76" s="202">
        <f>Ruimtestaat[[#This Row],[Uitvoeringen werkdagen]]*Ruimtestaat[[#This Row],[Oppervlak (netto)]]</f>
        <v>2079</v>
      </c>
      <c r="W76" s="242">
        <f>IF(U76&gt;0,Ruimtestaat[[#This Row],[Prest. (m2 /jaar) werkdagen]]/Ruimtestaat[[#This Row],[Norm (m2/uur) werkdagen]],0)</f>
        <v>0</v>
      </c>
      <c r="X76" s="243">
        <f>Ruimtestaat[[#This Row],[uren / jaar werkdagen]]*Tariefsopbouw!$D$38</f>
        <v>0</v>
      </c>
      <c r="Y76" s="33"/>
      <c r="Z76" s="33">
        <f>IF(Ruimtestaat[[#This Row],[Frequentie weekend]]&gt;0,VALUE(LEFT(Y76,1))*R76,0)</f>
        <v>0</v>
      </c>
      <c r="AA76" s="33">
        <f>IF($Z76&gt;0,VLOOKUP($J76,Ruimtegroepen[],3,FALSE)*VLOOKUP($L76,Vloersoorten[],3,FALSE)*VLOOKUP($Y76,Frequenties[],3,FALSE)*VLOOKUP(#REF!,Locaties[],3,FALSE),0)</f>
        <v>0</v>
      </c>
      <c r="AB76" s="33"/>
      <c r="AC76" s="33"/>
      <c r="AD76" s="33">
        <f>Ruimtestaat[[#This Row],[uren / jaar weekend]]*Tariefsopbouw!$D$40</f>
        <v>0</v>
      </c>
      <c r="AE76" s="86">
        <f>Ruimtestaat[[#This Row],[Prest. (m2 /jaar) weekend]]+Ruimtestaat[[#This Row],[Prest. (m2 /jaar) werkdagen]]</f>
        <v>2079</v>
      </c>
      <c r="AF76" s="86">
        <f>Ruimtestaat[[#This Row],[uren / jaar weekend]]+Ruimtestaat[[#This Row],[uren / jaar werkdagen]]</f>
        <v>0</v>
      </c>
      <c r="AG76" s="87">
        <f>Ruimtestaat[[#This Row],[kosten / jaar weekend]]+Ruimtestaat[[#This Row],[kosten / jaar werkdagen]]</f>
        <v>0</v>
      </c>
      <c r="HL76" s="85"/>
    </row>
    <row r="77" spans="1:220" ht="15" customHeight="1">
      <c r="A77" s="246">
        <v>2</v>
      </c>
      <c r="B77" s="21" t="str">
        <f>VLOOKUP(Ruimtestaat[[#This Row],[Code]],Locaties[#All],2,FALSE)</f>
        <v>Losser</v>
      </c>
      <c r="C77" s="247" t="str">
        <f>VLOOKUP(Ruimtestaat[[#This Row],[Code]],Locaties[#All],4,FALSE)</f>
        <v>Oranjestraat 2</v>
      </c>
      <c r="D77" s="247" t="str">
        <f>VLOOKUP(Ruimtestaat[[#This Row],[Code]],Locaties[#All],5,FALSE)</f>
        <v>7607 BJ </v>
      </c>
      <c r="E77" s="187" t="str">
        <f>VLOOKUP(Ruimtestaat[[#This Row],[Code]],Locaties[#All],6,FALSE)</f>
        <v>Losser</v>
      </c>
      <c r="F77" s="248"/>
      <c r="G77" s="246" t="s">
        <v>679</v>
      </c>
      <c r="H77" s="246" t="s">
        <v>1133</v>
      </c>
      <c r="I77" s="248" t="s">
        <v>686</v>
      </c>
      <c r="J77" s="187">
        <v>16</v>
      </c>
      <c r="K77" s="187" t="str">
        <f>VLOOKUP(Ruimtestaat[[#This Row],[Ruimte code]],Ruimtegroepen[#All],2,FALSE)</f>
        <v>Leslokalen/computerlokaal</v>
      </c>
      <c r="L77" s="231" t="s">
        <v>109</v>
      </c>
      <c r="M77" s="249" t="s">
        <v>1203</v>
      </c>
      <c r="N77" s="200">
        <v>58.957999999999998</v>
      </c>
      <c r="O77" s="190"/>
      <c r="P77" s="231" t="str">
        <f>VLOOKUP(Ruimtestaat[[#This Row],[Ruimte code]],Ruimtegroepen[#All],4,FALSE)</f>
        <v>L  (Lesruimte)</v>
      </c>
      <c r="Q77" s="201"/>
      <c r="R77" s="202">
        <v>42</v>
      </c>
      <c r="S77" s="202" t="s">
        <v>2</v>
      </c>
      <c r="T77" s="202">
        <f>IF(R77&gt;0,IF(RIGHT(Ruimtestaat[[#This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7" s="202">
        <f>IF(T77&gt;0,VLOOKUP($J77,Ruimtegroepen[],3,FALSE)*VLOOKUP($L77,Vloersoorten[],3,FALSE)*VLOOKUP($S77,Frequenties[],3,FALSE)*VLOOKUP($A77,Locaties[],3,FALSE),0)</f>
        <v>0</v>
      </c>
      <c r="V77" s="202">
        <f>Ruimtestaat[[#This Row],[Uitvoeringen werkdagen]]*Ruimtestaat[[#This Row],[Oppervlak (netto)]]</f>
        <v>12381.18</v>
      </c>
      <c r="W77" s="242">
        <f>IF(U77&gt;0,Ruimtestaat[[#This Row],[Prest. (m2 /jaar) werkdagen]]/Ruimtestaat[[#This Row],[Norm (m2/uur) werkdagen]],0)</f>
        <v>0</v>
      </c>
      <c r="X77" s="243">
        <f>Ruimtestaat[[#This Row],[uren / jaar werkdagen]]*Tariefsopbouw!$D$38</f>
        <v>0</v>
      </c>
      <c r="Y77" s="33"/>
      <c r="Z77" s="33">
        <f>IF(Ruimtestaat[[#This Row],[Frequentie weekend]]&gt;0,VALUE(LEFT(Y77,1))*R77,0)</f>
        <v>0</v>
      </c>
      <c r="AA77" s="33">
        <f>IF($Z77&gt;0,VLOOKUP($J77,Ruimtegroepen[],3,FALSE)*VLOOKUP($L77,Vloersoorten[],3,FALSE)*VLOOKUP($Y77,Frequenties[],3,FALSE)*VLOOKUP(#REF!,Locaties[],3,FALSE),0)</f>
        <v>0</v>
      </c>
      <c r="AB77" s="33"/>
      <c r="AC77" s="33"/>
      <c r="AD77" s="33">
        <f>Ruimtestaat[[#This Row],[uren / jaar weekend]]*Tariefsopbouw!$D$40</f>
        <v>0</v>
      </c>
      <c r="AE77" s="86">
        <f>Ruimtestaat[[#This Row],[Prest. (m2 /jaar) weekend]]+Ruimtestaat[[#This Row],[Prest. (m2 /jaar) werkdagen]]</f>
        <v>12381.18</v>
      </c>
      <c r="AF77" s="86">
        <f>Ruimtestaat[[#This Row],[uren / jaar weekend]]+Ruimtestaat[[#This Row],[uren / jaar werkdagen]]</f>
        <v>0</v>
      </c>
      <c r="AG77" s="87">
        <f>Ruimtestaat[[#This Row],[kosten / jaar weekend]]+Ruimtestaat[[#This Row],[kosten / jaar werkdagen]]</f>
        <v>0</v>
      </c>
      <c r="HL77" s="85"/>
    </row>
    <row r="78" spans="1:220" ht="15" customHeight="1">
      <c r="A78" s="246">
        <v>2</v>
      </c>
      <c r="B78" s="21" t="str">
        <f>VLOOKUP(Ruimtestaat[[#This Row],[Code]],Locaties[#All],2,FALSE)</f>
        <v>Losser</v>
      </c>
      <c r="C78" s="247" t="str">
        <f>VLOOKUP(Ruimtestaat[[#This Row],[Code]],Locaties[#All],4,FALSE)</f>
        <v>Oranjestraat 2</v>
      </c>
      <c r="D78" s="247" t="str">
        <f>VLOOKUP(Ruimtestaat[[#This Row],[Code]],Locaties[#All],5,FALSE)</f>
        <v>7607 BJ </v>
      </c>
      <c r="E78" s="187" t="str">
        <f>VLOOKUP(Ruimtestaat[[#This Row],[Code]],Locaties[#All],6,FALSE)</f>
        <v>Losser</v>
      </c>
      <c r="F78" s="248"/>
      <c r="G78" s="246" t="s">
        <v>679</v>
      </c>
      <c r="H78" s="246" t="s">
        <v>1134</v>
      </c>
      <c r="I78" s="248" t="s">
        <v>1135</v>
      </c>
      <c r="J78" s="187">
        <v>16</v>
      </c>
      <c r="K78" s="187" t="str">
        <f>VLOOKUP(Ruimtestaat[[#This Row],[Ruimte code]],Ruimtegroepen[#All],2,FALSE)</f>
        <v>Leslokalen/computerlokaal</v>
      </c>
      <c r="L78" s="231" t="s">
        <v>109</v>
      </c>
      <c r="M78" s="249" t="s">
        <v>1203</v>
      </c>
      <c r="N78" s="200">
        <v>58.957999999999998</v>
      </c>
      <c r="O78" s="190"/>
      <c r="P78" s="231" t="str">
        <f>VLOOKUP(Ruimtestaat[[#This Row],[Ruimte code]],Ruimtegroepen[#All],4,FALSE)</f>
        <v>L  (Lesruimte)</v>
      </c>
      <c r="Q78" s="201"/>
      <c r="R78" s="202">
        <v>42</v>
      </c>
      <c r="S78" s="202" t="s">
        <v>2</v>
      </c>
      <c r="T78" s="202">
        <f>IF(R78&gt;0,IF(RIGHT(Ruimtestaat[[#This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8" s="202">
        <f>IF(T78&gt;0,VLOOKUP($J78,Ruimtegroepen[],3,FALSE)*VLOOKUP($L78,Vloersoorten[],3,FALSE)*VLOOKUP($S78,Frequenties[],3,FALSE)*VLOOKUP($A78,Locaties[],3,FALSE),0)</f>
        <v>0</v>
      </c>
      <c r="V78" s="202">
        <f>Ruimtestaat[[#This Row],[Uitvoeringen werkdagen]]*Ruimtestaat[[#This Row],[Oppervlak (netto)]]</f>
        <v>12381.18</v>
      </c>
      <c r="W78" s="242">
        <f>IF(U78&gt;0,Ruimtestaat[[#This Row],[Prest. (m2 /jaar) werkdagen]]/Ruimtestaat[[#This Row],[Norm (m2/uur) werkdagen]],0)</f>
        <v>0</v>
      </c>
      <c r="X78" s="243">
        <f>Ruimtestaat[[#This Row],[uren / jaar werkdagen]]*Tariefsopbouw!$D$38</f>
        <v>0</v>
      </c>
      <c r="Y78" s="33"/>
      <c r="Z78" s="33">
        <f>IF(Ruimtestaat[[#This Row],[Frequentie weekend]]&gt;0,VALUE(LEFT(Y78,1))*R78,0)</f>
        <v>0</v>
      </c>
      <c r="AA78" s="33">
        <f>IF($Z78&gt;0,VLOOKUP($J78,Ruimtegroepen[],3,FALSE)*VLOOKUP($L78,Vloersoorten[],3,FALSE)*VLOOKUP($Y78,Frequenties[],3,FALSE)*VLOOKUP(#REF!,Locaties[],3,FALSE),0)</f>
        <v>0</v>
      </c>
      <c r="AB78" s="33"/>
      <c r="AC78" s="33"/>
      <c r="AD78" s="33">
        <f>Ruimtestaat[[#This Row],[uren / jaar weekend]]*Tariefsopbouw!$D$40</f>
        <v>0</v>
      </c>
      <c r="AE78" s="86">
        <f>Ruimtestaat[[#This Row],[Prest. (m2 /jaar) weekend]]+Ruimtestaat[[#This Row],[Prest. (m2 /jaar) werkdagen]]</f>
        <v>12381.18</v>
      </c>
      <c r="AF78" s="86">
        <f>Ruimtestaat[[#This Row],[uren / jaar weekend]]+Ruimtestaat[[#This Row],[uren / jaar werkdagen]]</f>
        <v>0</v>
      </c>
      <c r="AG78" s="87">
        <f>Ruimtestaat[[#This Row],[kosten / jaar weekend]]+Ruimtestaat[[#This Row],[kosten / jaar werkdagen]]</f>
        <v>0</v>
      </c>
      <c r="HL78" s="85"/>
    </row>
    <row r="79" spans="1:220" ht="15" customHeight="1">
      <c r="A79" s="246">
        <v>2</v>
      </c>
      <c r="B79" s="21" t="str">
        <f>VLOOKUP(Ruimtestaat[[#This Row],[Code]],Locaties[#All],2,FALSE)</f>
        <v>Losser</v>
      </c>
      <c r="C79" s="247" t="str">
        <f>VLOOKUP(Ruimtestaat[[#This Row],[Code]],Locaties[#All],4,FALSE)</f>
        <v>Oranjestraat 2</v>
      </c>
      <c r="D79" s="247" t="str">
        <f>VLOOKUP(Ruimtestaat[[#This Row],[Code]],Locaties[#All],5,FALSE)</f>
        <v>7607 BJ </v>
      </c>
      <c r="E79" s="187" t="str">
        <f>VLOOKUP(Ruimtestaat[[#This Row],[Code]],Locaties[#All],6,FALSE)</f>
        <v>Losser</v>
      </c>
      <c r="F79" s="248"/>
      <c r="G79" s="246" t="s">
        <v>679</v>
      </c>
      <c r="H79" s="246" t="s">
        <v>1136</v>
      </c>
      <c r="I79" s="248" t="s">
        <v>1137</v>
      </c>
      <c r="J79" s="247">
        <v>16</v>
      </c>
      <c r="K79" s="247" t="str">
        <f>VLOOKUP(Ruimtestaat[[#This Row],[Ruimte code]],Ruimtegroepen[#All],2,FALSE)</f>
        <v>Leslokalen/computerlokaal</v>
      </c>
      <c r="L79" s="231" t="s">
        <v>109</v>
      </c>
      <c r="M79" s="249" t="s">
        <v>1203</v>
      </c>
      <c r="N79" s="200">
        <v>58.957999999999998</v>
      </c>
      <c r="O79" s="190"/>
      <c r="P79" s="231" t="str">
        <f>VLOOKUP(Ruimtestaat[[#This Row],[Ruimte code]],Ruimtegroepen[#All],4,FALSE)</f>
        <v>L  (Lesruimte)</v>
      </c>
      <c r="Q79" s="201"/>
      <c r="R79" s="202">
        <v>42</v>
      </c>
      <c r="S79" s="202" t="s">
        <v>2</v>
      </c>
      <c r="T79" s="202">
        <f>IF(R79&gt;0,IF(RIGHT(Ruimtestaat[[#This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9" s="202">
        <f>IF(T79&gt;0,VLOOKUP($J79,Ruimtegroepen[],3,FALSE)*VLOOKUP($L79,Vloersoorten[],3,FALSE)*VLOOKUP($S79,Frequenties[],3,FALSE)*VLOOKUP($A79,Locaties[],3,FALSE),0)</f>
        <v>0</v>
      </c>
      <c r="V79" s="202">
        <f>Ruimtestaat[[#This Row],[Uitvoeringen werkdagen]]*Ruimtestaat[[#This Row],[Oppervlak (netto)]]</f>
        <v>12381.18</v>
      </c>
      <c r="W79" s="242">
        <f>IF(U79&gt;0,Ruimtestaat[[#This Row],[Prest. (m2 /jaar) werkdagen]]/Ruimtestaat[[#This Row],[Norm (m2/uur) werkdagen]],0)</f>
        <v>0</v>
      </c>
      <c r="X79" s="243">
        <f>Ruimtestaat[[#This Row],[uren / jaar werkdagen]]*Tariefsopbouw!$D$38</f>
        <v>0</v>
      </c>
      <c r="Y79" s="33"/>
      <c r="Z79" s="33">
        <f>IF(Ruimtestaat[[#This Row],[Frequentie weekend]]&gt;0,VALUE(LEFT(Y79,1))*R79,0)</f>
        <v>0</v>
      </c>
      <c r="AA79" s="33">
        <f>IF($Z79&gt;0,VLOOKUP($J79,Ruimtegroepen[],3,FALSE)*VLOOKUP($L79,Vloersoorten[],3,FALSE)*VLOOKUP($Y79,Frequenties[],3,FALSE)*VLOOKUP(#REF!,Locaties[],3,FALSE),0)</f>
        <v>0</v>
      </c>
      <c r="AB79" s="33"/>
      <c r="AC79" s="33"/>
      <c r="AD79" s="33">
        <f>Ruimtestaat[[#This Row],[uren / jaar weekend]]*Tariefsopbouw!$D$40</f>
        <v>0</v>
      </c>
      <c r="AE79" s="86">
        <f>Ruimtestaat[[#This Row],[Prest. (m2 /jaar) weekend]]+Ruimtestaat[[#This Row],[Prest. (m2 /jaar) werkdagen]]</f>
        <v>12381.18</v>
      </c>
      <c r="AF79" s="86">
        <f>Ruimtestaat[[#This Row],[uren / jaar weekend]]+Ruimtestaat[[#This Row],[uren / jaar werkdagen]]</f>
        <v>0</v>
      </c>
      <c r="AG79" s="87">
        <f>Ruimtestaat[[#This Row],[kosten / jaar weekend]]+Ruimtestaat[[#This Row],[kosten / jaar werkdagen]]</f>
        <v>0</v>
      </c>
      <c r="HL79" s="85"/>
    </row>
    <row r="80" spans="1:220" ht="15" customHeight="1">
      <c r="A80" s="246">
        <v>2</v>
      </c>
      <c r="B80" s="21" t="str">
        <f>VLOOKUP(Ruimtestaat[[#This Row],[Code]],Locaties[#All],2,FALSE)</f>
        <v>Losser</v>
      </c>
      <c r="C80" s="247" t="str">
        <f>VLOOKUP(Ruimtestaat[[#This Row],[Code]],Locaties[#All],4,FALSE)</f>
        <v>Oranjestraat 2</v>
      </c>
      <c r="D80" s="247" t="str">
        <f>VLOOKUP(Ruimtestaat[[#This Row],[Code]],Locaties[#All],5,FALSE)</f>
        <v>7607 BJ </v>
      </c>
      <c r="E80" s="187" t="str">
        <f>VLOOKUP(Ruimtestaat[[#This Row],[Code]],Locaties[#All],6,FALSE)</f>
        <v>Losser</v>
      </c>
      <c r="F80" s="248"/>
      <c r="G80" s="246" t="s">
        <v>679</v>
      </c>
      <c r="H80" s="246" t="s">
        <v>1138</v>
      </c>
      <c r="I80" s="248" t="s">
        <v>1139</v>
      </c>
      <c r="J80" s="187">
        <v>16</v>
      </c>
      <c r="K80" s="187" t="str">
        <f>VLOOKUP(Ruimtestaat[[#This Row],[Ruimte code]],Ruimtegroepen[#All],2,FALSE)</f>
        <v>Leslokalen/computerlokaal</v>
      </c>
      <c r="L80" s="231" t="s">
        <v>109</v>
      </c>
      <c r="M80" s="249" t="s">
        <v>1203</v>
      </c>
      <c r="N80" s="200">
        <v>58.957999999999998</v>
      </c>
      <c r="O80" s="190"/>
      <c r="P80" s="231" t="str">
        <f>VLOOKUP(Ruimtestaat[[#This Row],[Ruimte code]],Ruimtegroepen[#All],4,FALSE)</f>
        <v>L  (Lesruimte)</v>
      </c>
      <c r="Q80" s="201"/>
      <c r="R80" s="202">
        <v>42</v>
      </c>
      <c r="S80" s="202" t="s">
        <v>2</v>
      </c>
      <c r="T80" s="202">
        <f>IF(R80&gt;0,IF(RIGHT(Ruimtestaat[[#This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0" s="202">
        <f>IF(T80&gt;0,VLOOKUP($J80,Ruimtegroepen[],3,FALSE)*VLOOKUP($L80,Vloersoorten[],3,FALSE)*VLOOKUP($S80,Frequenties[],3,FALSE)*VLOOKUP($A80,Locaties[],3,FALSE),0)</f>
        <v>0</v>
      </c>
      <c r="V80" s="202">
        <f>Ruimtestaat[[#This Row],[Uitvoeringen werkdagen]]*Ruimtestaat[[#This Row],[Oppervlak (netto)]]</f>
        <v>12381.18</v>
      </c>
      <c r="W80" s="242">
        <f>IF(U80&gt;0,Ruimtestaat[[#This Row],[Prest. (m2 /jaar) werkdagen]]/Ruimtestaat[[#This Row],[Norm (m2/uur) werkdagen]],0)</f>
        <v>0</v>
      </c>
      <c r="X80" s="243">
        <f>Ruimtestaat[[#This Row],[uren / jaar werkdagen]]*Tariefsopbouw!$D$38</f>
        <v>0</v>
      </c>
      <c r="Y80" s="33"/>
      <c r="Z80" s="33">
        <f>IF(Ruimtestaat[[#This Row],[Frequentie weekend]]&gt;0,VALUE(LEFT(Y80,1))*R80,0)</f>
        <v>0</v>
      </c>
      <c r="AA80" s="33">
        <f>IF($Z80&gt;0,VLOOKUP($J80,Ruimtegroepen[],3,FALSE)*VLOOKUP($L80,Vloersoorten[],3,FALSE)*VLOOKUP($Y80,Frequenties[],3,FALSE)*VLOOKUP(#REF!,Locaties[],3,FALSE),0)</f>
        <v>0</v>
      </c>
      <c r="AB80" s="33"/>
      <c r="AC80" s="33"/>
      <c r="AD80" s="33">
        <f>Ruimtestaat[[#This Row],[uren / jaar weekend]]*Tariefsopbouw!$D$40</f>
        <v>0</v>
      </c>
      <c r="AE80" s="86">
        <f>Ruimtestaat[[#This Row],[Prest. (m2 /jaar) weekend]]+Ruimtestaat[[#This Row],[Prest. (m2 /jaar) werkdagen]]</f>
        <v>12381.18</v>
      </c>
      <c r="AF80" s="86">
        <f>Ruimtestaat[[#This Row],[uren / jaar weekend]]+Ruimtestaat[[#This Row],[uren / jaar werkdagen]]</f>
        <v>0</v>
      </c>
      <c r="AG80" s="87">
        <f>Ruimtestaat[[#This Row],[kosten / jaar weekend]]+Ruimtestaat[[#This Row],[kosten / jaar werkdagen]]</f>
        <v>0</v>
      </c>
      <c r="HL80" s="85"/>
    </row>
    <row r="81" spans="1:220" ht="15" customHeight="1">
      <c r="A81" s="246">
        <v>2</v>
      </c>
      <c r="B81" s="21" t="str">
        <f>VLOOKUP(Ruimtestaat[[#This Row],[Code]],Locaties[#All],2,FALSE)</f>
        <v>Losser</v>
      </c>
      <c r="C81" s="247" t="str">
        <f>VLOOKUP(Ruimtestaat[[#This Row],[Code]],Locaties[#All],4,FALSE)</f>
        <v>Oranjestraat 2</v>
      </c>
      <c r="D81" s="247" t="str">
        <f>VLOOKUP(Ruimtestaat[[#This Row],[Code]],Locaties[#All],5,FALSE)</f>
        <v>7607 BJ </v>
      </c>
      <c r="E81" s="187" t="str">
        <f>VLOOKUP(Ruimtestaat[[#This Row],[Code]],Locaties[#All],6,FALSE)</f>
        <v>Losser</v>
      </c>
      <c r="F81" s="248"/>
      <c r="G81" s="246" t="s">
        <v>679</v>
      </c>
      <c r="H81" s="246" t="s">
        <v>1140</v>
      </c>
      <c r="I81" s="248" t="s">
        <v>1141</v>
      </c>
      <c r="J81" s="187">
        <v>16</v>
      </c>
      <c r="K81" s="187" t="str">
        <f>VLOOKUP(Ruimtestaat[[#This Row],[Ruimte code]],Ruimtegroepen[#All],2,FALSE)</f>
        <v>Leslokalen/computerlokaal</v>
      </c>
      <c r="L81" s="231" t="s">
        <v>109</v>
      </c>
      <c r="M81" s="249" t="s">
        <v>1203</v>
      </c>
      <c r="N81" s="200">
        <v>58.957999999999998</v>
      </c>
      <c r="O81" s="190"/>
      <c r="P81" s="231" t="str">
        <f>VLOOKUP(Ruimtestaat[[#This Row],[Ruimte code]],Ruimtegroepen[#All],4,FALSE)</f>
        <v>L  (Lesruimte)</v>
      </c>
      <c r="Q81" s="201"/>
      <c r="R81" s="202">
        <v>42</v>
      </c>
      <c r="S81" s="202" t="s">
        <v>2</v>
      </c>
      <c r="T81" s="202">
        <f>IF(R81&gt;0,IF(RIGHT(Ruimtestaat[[#This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1" s="202">
        <f>IF(T81&gt;0,VLOOKUP($J81,Ruimtegroepen[],3,FALSE)*VLOOKUP($L81,Vloersoorten[],3,FALSE)*VLOOKUP($S81,Frequenties[],3,FALSE)*VLOOKUP($A81,Locaties[],3,FALSE),0)</f>
        <v>0</v>
      </c>
      <c r="V81" s="202">
        <f>Ruimtestaat[[#This Row],[Uitvoeringen werkdagen]]*Ruimtestaat[[#This Row],[Oppervlak (netto)]]</f>
        <v>12381.18</v>
      </c>
      <c r="W81" s="242">
        <f>IF(U81&gt;0,Ruimtestaat[[#This Row],[Prest. (m2 /jaar) werkdagen]]/Ruimtestaat[[#This Row],[Norm (m2/uur) werkdagen]],0)</f>
        <v>0</v>
      </c>
      <c r="X81" s="243">
        <f>Ruimtestaat[[#This Row],[uren / jaar werkdagen]]*Tariefsopbouw!$D$38</f>
        <v>0</v>
      </c>
      <c r="Y81" s="33"/>
      <c r="Z81" s="33">
        <f>IF(Ruimtestaat[[#This Row],[Frequentie weekend]]&gt;0,VALUE(LEFT(Y81,1))*R81,0)</f>
        <v>0</v>
      </c>
      <c r="AA81" s="33">
        <f>IF($Z81&gt;0,VLOOKUP($J81,Ruimtegroepen[],3,FALSE)*VLOOKUP($L81,Vloersoorten[],3,FALSE)*VLOOKUP($Y81,Frequenties[],3,FALSE)*VLOOKUP(#REF!,Locaties[],3,FALSE),0)</f>
        <v>0</v>
      </c>
      <c r="AB81" s="33"/>
      <c r="AC81" s="33"/>
      <c r="AD81" s="33">
        <f>Ruimtestaat[[#This Row],[uren / jaar weekend]]*Tariefsopbouw!$D$40</f>
        <v>0</v>
      </c>
      <c r="AE81" s="86">
        <f>Ruimtestaat[[#This Row],[Prest. (m2 /jaar) weekend]]+Ruimtestaat[[#This Row],[Prest. (m2 /jaar) werkdagen]]</f>
        <v>12381.18</v>
      </c>
      <c r="AF81" s="86">
        <f>Ruimtestaat[[#This Row],[uren / jaar weekend]]+Ruimtestaat[[#This Row],[uren / jaar werkdagen]]</f>
        <v>0</v>
      </c>
      <c r="AG81" s="87">
        <f>Ruimtestaat[[#This Row],[kosten / jaar weekend]]+Ruimtestaat[[#This Row],[kosten / jaar werkdagen]]</f>
        <v>0</v>
      </c>
      <c r="HL81" s="85"/>
    </row>
    <row r="82" spans="1:220" ht="15" customHeight="1">
      <c r="A82" s="246">
        <v>2</v>
      </c>
      <c r="B82" s="21" t="str">
        <f>VLOOKUP(Ruimtestaat[[#This Row],[Code]],Locaties[#All],2,FALSE)</f>
        <v>Losser</v>
      </c>
      <c r="C82" s="247" t="str">
        <f>VLOOKUP(Ruimtestaat[[#This Row],[Code]],Locaties[#All],4,FALSE)</f>
        <v>Oranjestraat 2</v>
      </c>
      <c r="D82" s="247" t="str">
        <f>VLOOKUP(Ruimtestaat[[#This Row],[Code]],Locaties[#All],5,FALSE)</f>
        <v>7607 BJ </v>
      </c>
      <c r="E82" s="187" t="str">
        <f>VLOOKUP(Ruimtestaat[[#This Row],[Code]],Locaties[#All],6,FALSE)</f>
        <v>Losser</v>
      </c>
      <c r="F82" s="248"/>
      <c r="G82" s="246" t="s">
        <v>679</v>
      </c>
      <c r="H82" s="246" t="s">
        <v>1142</v>
      </c>
      <c r="I82" s="248" t="s">
        <v>1143</v>
      </c>
      <c r="J82" s="187">
        <v>16</v>
      </c>
      <c r="K82" s="187" t="str">
        <f>VLOOKUP(Ruimtestaat[[#This Row],[Ruimte code]],Ruimtegroepen[#All],2,FALSE)</f>
        <v>Leslokalen/computerlokaal</v>
      </c>
      <c r="L82" s="231" t="s">
        <v>109</v>
      </c>
      <c r="M82" s="249" t="s">
        <v>1203</v>
      </c>
      <c r="N82" s="200">
        <v>58.957999999999998</v>
      </c>
      <c r="O82" s="190"/>
      <c r="P82" s="231" t="str">
        <f>VLOOKUP(Ruimtestaat[[#This Row],[Ruimte code]],Ruimtegroepen[#All],4,FALSE)</f>
        <v>L  (Lesruimte)</v>
      </c>
      <c r="Q82" s="201"/>
      <c r="R82" s="202">
        <v>42</v>
      </c>
      <c r="S82" s="202" t="s">
        <v>2</v>
      </c>
      <c r="T82" s="202">
        <f>IF(R82&gt;0,IF(RIGHT(Ruimtestaat[[#This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2" s="202">
        <f>IF(T82&gt;0,VLOOKUP($J82,Ruimtegroepen[],3,FALSE)*VLOOKUP($L82,Vloersoorten[],3,FALSE)*VLOOKUP($S82,Frequenties[],3,FALSE)*VLOOKUP($A82,Locaties[],3,FALSE),0)</f>
        <v>0</v>
      </c>
      <c r="V82" s="202">
        <f>Ruimtestaat[[#This Row],[Uitvoeringen werkdagen]]*Ruimtestaat[[#This Row],[Oppervlak (netto)]]</f>
        <v>12381.18</v>
      </c>
      <c r="W82" s="242">
        <f>IF(U82&gt;0,Ruimtestaat[[#This Row],[Prest. (m2 /jaar) werkdagen]]/Ruimtestaat[[#This Row],[Norm (m2/uur) werkdagen]],0)</f>
        <v>0</v>
      </c>
      <c r="X82" s="243">
        <f>Ruimtestaat[[#This Row],[uren / jaar werkdagen]]*Tariefsopbouw!$D$38</f>
        <v>0</v>
      </c>
      <c r="Y82" s="33"/>
      <c r="Z82" s="33">
        <f>IF(Ruimtestaat[[#This Row],[Frequentie weekend]]&gt;0,VALUE(LEFT(Y82,1))*R82,0)</f>
        <v>0</v>
      </c>
      <c r="AA82" s="33">
        <f>IF($Z82&gt;0,VLOOKUP($J82,Ruimtegroepen[],3,FALSE)*VLOOKUP($L82,Vloersoorten[],3,FALSE)*VLOOKUP($Y82,Frequenties[],3,FALSE)*VLOOKUP(#REF!,Locaties[],3,FALSE),0)</f>
        <v>0</v>
      </c>
      <c r="AB82" s="33"/>
      <c r="AC82" s="33"/>
      <c r="AD82" s="33">
        <f>Ruimtestaat[[#This Row],[uren / jaar weekend]]*Tariefsopbouw!$D$40</f>
        <v>0</v>
      </c>
      <c r="AE82" s="86">
        <f>Ruimtestaat[[#This Row],[Prest. (m2 /jaar) weekend]]+Ruimtestaat[[#This Row],[Prest. (m2 /jaar) werkdagen]]</f>
        <v>12381.18</v>
      </c>
      <c r="AF82" s="86">
        <f>Ruimtestaat[[#This Row],[uren / jaar weekend]]+Ruimtestaat[[#This Row],[uren / jaar werkdagen]]</f>
        <v>0</v>
      </c>
      <c r="AG82" s="87">
        <f>Ruimtestaat[[#This Row],[kosten / jaar weekend]]+Ruimtestaat[[#This Row],[kosten / jaar werkdagen]]</f>
        <v>0</v>
      </c>
      <c r="HL82" s="85"/>
    </row>
    <row r="83" spans="1:220" ht="15" customHeight="1">
      <c r="A83" s="246">
        <v>2</v>
      </c>
      <c r="B83" s="21" t="str">
        <f>VLOOKUP(Ruimtestaat[[#This Row],[Code]],Locaties[#All],2,FALSE)</f>
        <v>Losser</v>
      </c>
      <c r="C83" s="247" t="str">
        <f>VLOOKUP(Ruimtestaat[[#This Row],[Code]],Locaties[#All],4,FALSE)</f>
        <v>Oranjestraat 2</v>
      </c>
      <c r="D83" s="247" t="str">
        <f>VLOOKUP(Ruimtestaat[[#This Row],[Code]],Locaties[#All],5,FALSE)</f>
        <v>7607 BJ </v>
      </c>
      <c r="E83" s="187" t="str">
        <f>VLOOKUP(Ruimtestaat[[#This Row],[Code]],Locaties[#All],6,FALSE)</f>
        <v>Losser</v>
      </c>
      <c r="F83" s="248"/>
      <c r="G83" s="246" t="s">
        <v>679</v>
      </c>
      <c r="H83" s="246" t="s">
        <v>1144</v>
      </c>
      <c r="I83" s="248" t="s">
        <v>1145</v>
      </c>
      <c r="J83" s="187">
        <v>16</v>
      </c>
      <c r="K83" s="187" t="str">
        <f>VLOOKUP(Ruimtestaat[[#This Row],[Ruimte code]],Ruimtegroepen[#All],2,FALSE)</f>
        <v>Leslokalen/computerlokaal</v>
      </c>
      <c r="L83" s="231" t="s">
        <v>109</v>
      </c>
      <c r="M83" s="249" t="s">
        <v>1203</v>
      </c>
      <c r="N83" s="200">
        <v>43.058999999999997</v>
      </c>
      <c r="O83" s="190"/>
      <c r="P83" s="231" t="str">
        <f>VLOOKUP(Ruimtestaat[[#This Row],[Ruimte code]],Ruimtegroepen[#All],4,FALSE)</f>
        <v>L  (Lesruimte)</v>
      </c>
      <c r="Q83" s="201"/>
      <c r="R83" s="202">
        <v>42</v>
      </c>
      <c r="S83" s="202" t="s">
        <v>2</v>
      </c>
      <c r="T83" s="202">
        <f>IF(R83&gt;0,IF(RIGHT(Ruimtestaat[[#This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3" s="202">
        <f>IF(T83&gt;0,VLOOKUP($J83,Ruimtegroepen[],3,FALSE)*VLOOKUP($L83,Vloersoorten[],3,FALSE)*VLOOKUP($S83,Frequenties[],3,FALSE)*VLOOKUP($A83,Locaties[],3,FALSE),0)</f>
        <v>0</v>
      </c>
      <c r="V83" s="202">
        <f>Ruimtestaat[[#This Row],[Uitvoeringen werkdagen]]*Ruimtestaat[[#This Row],[Oppervlak (netto)]]</f>
        <v>9042.39</v>
      </c>
      <c r="W83" s="242">
        <f>IF(U83&gt;0,Ruimtestaat[[#This Row],[Prest. (m2 /jaar) werkdagen]]/Ruimtestaat[[#This Row],[Norm (m2/uur) werkdagen]],0)</f>
        <v>0</v>
      </c>
      <c r="X83" s="243">
        <f>Ruimtestaat[[#This Row],[uren / jaar werkdagen]]*Tariefsopbouw!$D$38</f>
        <v>0</v>
      </c>
      <c r="Y83" s="33"/>
      <c r="Z83" s="33">
        <f>IF(Ruimtestaat[[#This Row],[Frequentie weekend]]&gt;0,VALUE(LEFT(Y83,1))*R83,0)</f>
        <v>0</v>
      </c>
      <c r="AA83" s="33">
        <f>IF($Z83&gt;0,VLOOKUP($J83,Ruimtegroepen[],3,FALSE)*VLOOKUP($L83,Vloersoorten[],3,FALSE)*VLOOKUP($Y83,Frequenties[],3,FALSE)*VLOOKUP(#REF!,Locaties[],3,FALSE),0)</f>
        <v>0</v>
      </c>
      <c r="AB83" s="33"/>
      <c r="AC83" s="33"/>
      <c r="AD83" s="33">
        <f>Ruimtestaat[[#This Row],[uren / jaar weekend]]*Tariefsopbouw!$D$40</f>
        <v>0</v>
      </c>
      <c r="AE83" s="86">
        <f>Ruimtestaat[[#This Row],[Prest. (m2 /jaar) weekend]]+Ruimtestaat[[#This Row],[Prest. (m2 /jaar) werkdagen]]</f>
        <v>9042.39</v>
      </c>
      <c r="AF83" s="86">
        <f>Ruimtestaat[[#This Row],[uren / jaar weekend]]+Ruimtestaat[[#This Row],[uren / jaar werkdagen]]</f>
        <v>0</v>
      </c>
      <c r="AG83" s="87">
        <f>Ruimtestaat[[#This Row],[kosten / jaar weekend]]+Ruimtestaat[[#This Row],[kosten / jaar werkdagen]]</f>
        <v>0</v>
      </c>
      <c r="HL83" s="85"/>
    </row>
    <row r="84" spans="1:220" ht="15" customHeight="1">
      <c r="A84" s="246">
        <v>2</v>
      </c>
      <c r="B84" s="21" t="str">
        <f>VLOOKUP(Ruimtestaat[[#This Row],[Code]],Locaties[#All],2,FALSE)</f>
        <v>Losser</v>
      </c>
      <c r="C84" s="247" t="str">
        <f>VLOOKUP(Ruimtestaat[[#This Row],[Code]],Locaties[#All],4,FALSE)</f>
        <v>Oranjestraat 2</v>
      </c>
      <c r="D84" s="247" t="str">
        <f>VLOOKUP(Ruimtestaat[[#This Row],[Code]],Locaties[#All],5,FALSE)</f>
        <v>7607 BJ </v>
      </c>
      <c r="E84" s="187" t="str">
        <f>VLOOKUP(Ruimtestaat[[#This Row],[Code]],Locaties[#All],6,FALSE)</f>
        <v>Losser</v>
      </c>
      <c r="F84" s="248"/>
      <c r="G84" s="246" t="s">
        <v>679</v>
      </c>
      <c r="H84" s="246" t="s">
        <v>1146</v>
      </c>
      <c r="I84" s="248" t="s">
        <v>1147</v>
      </c>
      <c r="J84" s="187">
        <v>11</v>
      </c>
      <c r="K84" s="187" t="str">
        <f>VLOOKUP(Ruimtestaat[[#This Row],[Ruimte code]],Ruimtegroepen[#All],2,FALSE)</f>
        <v>Garderobes/kluisjesruimte</v>
      </c>
      <c r="L84" s="231" t="s">
        <v>109</v>
      </c>
      <c r="M84" s="249" t="s">
        <v>1203</v>
      </c>
      <c r="N84" s="200">
        <v>71.882999999999996</v>
      </c>
      <c r="O84" s="190"/>
      <c r="P84" s="231" t="str">
        <f>VLOOKUP(Ruimtestaat[[#This Row],[Ruimte code]],Ruimtegroepen[#All],4,FALSE)</f>
        <v>V  (Verkeersruimte)</v>
      </c>
      <c r="Q84" s="201"/>
      <c r="R84" s="202">
        <v>42</v>
      </c>
      <c r="S84" s="202" t="s">
        <v>2</v>
      </c>
      <c r="T84" s="202">
        <f>IF(R84&gt;0,IF(RIGHT(Ruimtestaat[[#This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4" s="202">
        <f>IF(T84&gt;0,VLOOKUP($J84,Ruimtegroepen[],3,FALSE)*VLOOKUP($L84,Vloersoorten[],3,FALSE)*VLOOKUP($S84,Frequenties[],3,FALSE)*VLOOKUP($A84,Locaties[],3,FALSE),0)</f>
        <v>0</v>
      </c>
      <c r="V84" s="202">
        <f>Ruimtestaat[[#This Row],[Uitvoeringen werkdagen]]*Ruimtestaat[[#This Row],[Oppervlak (netto)]]</f>
        <v>15095.429999999998</v>
      </c>
      <c r="W84" s="242">
        <f>IF(U84&gt;0,Ruimtestaat[[#This Row],[Prest. (m2 /jaar) werkdagen]]/Ruimtestaat[[#This Row],[Norm (m2/uur) werkdagen]],0)</f>
        <v>0</v>
      </c>
      <c r="X84" s="243">
        <f>Ruimtestaat[[#This Row],[uren / jaar werkdagen]]*Tariefsopbouw!$D$38</f>
        <v>0</v>
      </c>
      <c r="Y84" s="33"/>
      <c r="Z84" s="33">
        <f>IF(Ruimtestaat[[#This Row],[Frequentie weekend]]&gt;0,VALUE(LEFT(Y84,1))*R84,0)</f>
        <v>0</v>
      </c>
      <c r="AA84" s="33">
        <f>IF($Z84&gt;0,VLOOKUP($J84,Ruimtegroepen[],3,FALSE)*VLOOKUP($L84,Vloersoorten[],3,FALSE)*VLOOKUP($Y84,Frequenties[],3,FALSE)*VLOOKUP(#REF!,Locaties[],3,FALSE),0)</f>
        <v>0</v>
      </c>
      <c r="AB84" s="33"/>
      <c r="AC84" s="33"/>
      <c r="AD84" s="33">
        <f>Ruimtestaat[[#This Row],[uren / jaar weekend]]*Tariefsopbouw!$D$40</f>
        <v>0</v>
      </c>
      <c r="AE84" s="86">
        <f>Ruimtestaat[[#This Row],[Prest. (m2 /jaar) weekend]]+Ruimtestaat[[#This Row],[Prest. (m2 /jaar) werkdagen]]</f>
        <v>15095.429999999998</v>
      </c>
      <c r="AF84" s="86">
        <f>Ruimtestaat[[#This Row],[uren / jaar weekend]]+Ruimtestaat[[#This Row],[uren / jaar werkdagen]]</f>
        <v>0</v>
      </c>
      <c r="AG84" s="87">
        <f>Ruimtestaat[[#This Row],[kosten / jaar weekend]]+Ruimtestaat[[#This Row],[kosten / jaar werkdagen]]</f>
        <v>0</v>
      </c>
      <c r="HL84" s="85"/>
    </row>
    <row r="85" spans="1:220" ht="15" customHeight="1">
      <c r="A85" s="246">
        <v>2</v>
      </c>
      <c r="B85" s="21" t="str">
        <f>VLOOKUP(Ruimtestaat[[#This Row],[Code]],Locaties[#All],2,FALSE)</f>
        <v>Losser</v>
      </c>
      <c r="C85" s="247" t="str">
        <f>VLOOKUP(Ruimtestaat[[#This Row],[Code]],Locaties[#All],4,FALSE)</f>
        <v>Oranjestraat 2</v>
      </c>
      <c r="D85" s="247" t="str">
        <f>VLOOKUP(Ruimtestaat[[#This Row],[Code]],Locaties[#All],5,FALSE)</f>
        <v>7607 BJ </v>
      </c>
      <c r="E85" s="187" t="str">
        <f>VLOOKUP(Ruimtestaat[[#This Row],[Code]],Locaties[#All],6,FALSE)</f>
        <v>Losser</v>
      </c>
      <c r="F85" s="248"/>
      <c r="G85" s="246" t="s">
        <v>679</v>
      </c>
      <c r="H85" s="246" t="s">
        <v>1148</v>
      </c>
      <c r="I85" s="248" t="s">
        <v>1149</v>
      </c>
      <c r="J85" s="187">
        <v>16</v>
      </c>
      <c r="K85" s="187" t="str">
        <f>VLOOKUP(Ruimtestaat[[#This Row],[Ruimte code]],Ruimtegroepen[#All],2,FALSE)</f>
        <v>Leslokalen/computerlokaal</v>
      </c>
      <c r="L85" s="231" t="s">
        <v>109</v>
      </c>
      <c r="M85" s="249" t="s">
        <v>1203</v>
      </c>
      <c r="N85" s="200">
        <v>84.364999999999995</v>
      </c>
      <c r="O85" s="190"/>
      <c r="P85" s="231" t="str">
        <f>VLOOKUP(Ruimtestaat[[#This Row],[Ruimte code]],Ruimtegroepen[#All],4,FALSE)</f>
        <v>L  (Lesruimte)</v>
      </c>
      <c r="Q85" s="201"/>
      <c r="R85" s="202">
        <v>42</v>
      </c>
      <c r="S85" s="202" t="s">
        <v>2</v>
      </c>
      <c r="T85" s="202">
        <f>IF(R85&gt;0,IF(RIGHT(Ruimtestaat[[#This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5" s="202">
        <f>IF(T85&gt;0,VLOOKUP($J85,Ruimtegroepen[],3,FALSE)*VLOOKUP($L85,Vloersoorten[],3,FALSE)*VLOOKUP($S85,Frequenties[],3,FALSE)*VLOOKUP($A85,Locaties[],3,FALSE),0)</f>
        <v>0</v>
      </c>
      <c r="V85" s="202">
        <f>Ruimtestaat[[#This Row],[Uitvoeringen werkdagen]]*Ruimtestaat[[#This Row],[Oppervlak (netto)]]</f>
        <v>17716.649999999998</v>
      </c>
      <c r="W85" s="242">
        <f>IF(U85&gt;0,Ruimtestaat[[#This Row],[Prest. (m2 /jaar) werkdagen]]/Ruimtestaat[[#This Row],[Norm (m2/uur) werkdagen]],0)</f>
        <v>0</v>
      </c>
      <c r="X85" s="243">
        <f>Ruimtestaat[[#This Row],[uren / jaar werkdagen]]*Tariefsopbouw!$D$38</f>
        <v>0</v>
      </c>
      <c r="Y85" s="33"/>
      <c r="Z85" s="33">
        <f>IF(Ruimtestaat[[#This Row],[Frequentie weekend]]&gt;0,VALUE(LEFT(Y85,1))*R85,0)</f>
        <v>0</v>
      </c>
      <c r="AA85" s="33">
        <f>IF($Z85&gt;0,VLOOKUP($J85,Ruimtegroepen[],3,FALSE)*VLOOKUP($L85,Vloersoorten[],3,FALSE)*VLOOKUP($Y85,Frequenties[],3,FALSE)*VLOOKUP(#REF!,Locaties[],3,FALSE),0)</f>
        <v>0</v>
      </c>
      <c r="AB85" s="33"/>
      <c r="AC85" s="33"/>
      <c r="AD85" s="33">
        <f>Ruimtestaat[[#This Row],[uren / jaar weekend]]*Tariefsopbouw!$D$40</f>
        <v>0</v>
      </c>
      <c r="AE85" s="86">
        <f>Ruimtestaat[[#This Row],[Prest. (m2 /jaar) weekend]]+Ruimtestaat[[#This Row],[Prest. (m2 /jaar) werkdagen]]</f>
        <v>17716.649999999998</v>
      </c>
      <c r="AF85" s="86">
        <f>Ruimtestaat[[#This Row],[uren / jaar weekend]]+Ruimtestaat[[#This Row],[uren / jaar werkdagen]]</f>
        <v>0</v>
      </c>
      <c r="AG85" s="87">
        <f>Ruimtestaat[[#This Row],[kosten / jaar weekend]]+Ruimtestaat[[#This Row],[kosten / jaar werkdagen]]</f>
        <v>0</v>
      </c>
    </row>
    <row r="86" spans="1:220" ht="15" customHeight="1">
      <c r="A86" s="246">
        <v>2</v>
      </c>
      <c r="B86" s="21" t="str">
        <f>VLOOKUP(Ruimtestaat[[#This Row],[Code]],Locaties[#All],2,FALSE)</f>
        <v>Losser</v>
      </c>
      <c r="C86" s="247" t="str">
        <f>VLOOKUP(Ruimtestaat[[#This Row],[Code]],Locaties[#All],4,FALSE)</f>
        <v>Oranjestraat 2</v>
      </c>
      <c r="D86" s="247" t="str">
        <f>VLOOKUP(Ruimtestaat[[#This Row],[Code]],Locaties[#All],5,FALSE)</f>
        <v>7607 BJ </v>
      </c>
      <c r="E86" s="187" t="str">
        <f>VLOOKUP(Ruimtestaat[[#This Row],[Code]],Locaties[#All],6,FALSE)</f>
        <v>Losser</v>
      </c>
      <c r="F86" s="248"/>
      <c r="G86" s="246" t="s">
        <v>679</v>
      </c>
      <c r="H86" s="246" t="s">
        <v>419</v>
      </c>
      <c r="I86" s="248" t="s">
        <v>1150</v>
      </c>
      <c r="J86" s="187">
        <v>13</v>
      </c>
      <c r="K86" s="187" t="str">
        <f>VLOOKUP(Ruimtestaat[[#This Row],[Ruimte code]],Ruimtegroepen[#All],2,FALSE)</f>
        <v>Personeelskamer</v>
      </c>
      <c r="L86" s="231" t="s">
        <v>109</v>
      </c>
      <c r="M86" s="249" t="s">
        <v>1203</v>
      </c>
      <c r="N86" s="200">
        <v>14.7875</v>
      </c>
      <c r="O86" s="190"/>
      <c r="P86" s="231" t="str">
        <f>VLOOKUP(Ruimtestaat[[#This Row],[Ruimte code]],Ruimtegroepen[#All],4,FALSE)</f>
        <v>V  (Verkeersruimte)</v>
      </c>
      <c r="Q86" s="201"/>
      <c r="R86" s="202">
        <v>42</v>
      </c>
      <c r="S86" s="202" t="s">
        <v>2</v>
      </c>
      <c r="T86" s="202">
        <f>IF(R86&gt;0,IF(RIGHT(Ruimtestaat[[#This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6" s="202">
        <f>IF(T86&gt;0,VLOOKUP($J86,Ruimtegroepen[],3,FALSE)*VLOOKUP($L86,Vloersoorten[],3,FALSE)*VLOOKUP($S86,Frequenties[],3,FALSE)*VLOOKUP($A86,Locaties[],3,FALSE),0)</f>
        <v>0</v>
      </c>
      <c r="V86" s="202">
        <f>Ruimtestaat[[#This Row],[Uitvoeringen werkdagen]]*Ruimtestaat[[#This Row],[Oppervlak (netto)]]</f>
        <v>3105.375</v>
      </c>
      <c r="W86" s="242">
        <f>IF(U86&gt;0,Ruimtestaat[[#This Row],[Prest. (m2 /jaar) werkdagen]]/Ruimtestaat[[#This Row],[Norm (m2/uur) werkdagen]],0)</f>
        <v>0</v>
      </c>
      <c r="X86" s="243">
        <f>Ruimtestaat[[#This Row],[uren / jaar werkdagen]]*Tariefsopbouw!$D$38</f>
        <v>0</v>
      </c>
      <c r="Y86" s="33"/>
      <c r="Z86" s="33">
        <f>IF(Ruimtestaat[[#This Row],[Frequentie weekend]]&gt;0,VALUE(LEFT(Y86,1))*R86,0)</f>
        <v>0</v>
      </c>
      <c r="AA86" s="33">
        <f>IF($Z86&gt;0,VLOOKUP($J86,Ruimtegroepen[],3,FALSE)*VLOOKUP($L86,Vloersoorten[],3,FALSE)*VLOOKUP($Y86,Frequenties[],3,FALSE)*VLOOKUP(#REF!,Locaties[],3,FALSE),0)</f>
        <v>0</v>
      </c>
      <c r="AB86" s="33"/>
      <c r="AC86" s="33"/>
      <c r="AD86" s="33">
        <f>Ruimtestaat[[#This Row],[uren / jaar weekend]]*Tariefsopbouw!$D$40</f>
        <v>0</v>
      </c>
      <c r="AE86" s="86">
        <f>Ruimtestaat[[#This Row],[Prest. (m2 /jaar) weekend]]+Ruimtestaat[[#This Row],[Prest. (m2 /jaar) werkdagen]]</f>
        <v>3105.375</v>
      </c>
      <c r="AF86" s="86">
        <f>Ruimtestaat[[#This Row],[uren / jaar weekend]]+Ruimtestaat[[#This Row],[uren / jaar werkdagen]]</f>
        <v>0</v>
      </c>
      <c r="AG86" s="87">
        <f>Ruimtestaat[[#This Row],[kosten / jaar weekend]]+Ruimtestaat[[#This Row],[kosten / jaar werkdagen]]</f>
        <v>0</v>
      </c>
    </row>
    <row r="87" spans="1:220" ht="15" customHeight="1">
      <c r="A87" s="246">
        <v>2</v>
      </c>
      <c r="B87" s="21" t="str">
        <f>VLOOKUP(Ruimtestaat[[#This Row],[Code]],Locaties[#All],2,FALSE)</f>
        <v>Losser</v>
      </c>
      <c r="C87" s="247" t="str">
        <f>VLOOKUP(Ruimtestaat[[#This Row],[Code]],Locaties[#All],4,FALSE)</f>
        <v>Oranjestraat 2</v>
      </c>
      <c r="D87" s="247" t="str">
        <f>VLOOKUP(Ruimtestaat[[#This Row],[Code]],Locaties[#All],5,FALSE)</f>
        <v>7607 BJ </v>
      </c>
      <c r="E87" s="187" t="str">
        <f>VLOOKUP(Ruimtestaat[[#This Row],[Code]],Locaties[#All],6,FALSE)</f>
        <v>Losser</v>
      </c>
      <c r="F87" s="248"/>
      <c r="G87" s="246" t="s">
        <v>679</v>
      </c>
      <c r="H87" s="246" t="s">
        <v>421</v>
      </c>
      <c r="I87" s="248" t="s">
        <v>1151</v>
      </c>
      <c r="J87" s="187">
        <v>16</v>
      </c>
      <c r="K87" s="187" t="str">
        <f>VLOOKUP(Ruimtestaat[[#This Row],[Ruimte code]],Ruimtegroepen[#All],2,FALSE)</f>
        <v>Leslokalen/computerlokaal</v>
      </c>
      <c r="L87" s="231" t="s">
        <v>109</v>
      </c>
      <c r="M87" s="249" t="s">
        <v>1203</v>
      </c>
      <c r="N87" s="200">
        <v>84.364999999999995</v>
      </c>
      <c r="O87" s="190"/>
      <c r="P87" s="231" t="str">
        <f>VLOOKUP(Ruimtestaat[[#This Row],[Ruimte code]],Ruimtegroepen[#All],4,FALSE)</f>
        <v>L  (Lesruimte)</v>
      </c>
      <c r="Q87" s="201"/>
      <c r="R87" s="202">
        <v>42</v>
      </c>
      <c r="S87" s="202" t="s">
        <v>2</v>
      </c>
      <c r="T87" s="202">
        <f>IF(R87&gt;0,IF(RIGHT(Ruimtestaat[[#This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7" s="202">
        <f>IF(T87&gt;0,VLOOKUP($J87,Ruimtegroepen[],3,FALSE)*VLOOKUP($L87,Vloersoorten[],3,FALSE)*VLOOKUP($S87,Frequenties[],3,FALSE)*VLOOKUP($A87,Locaties[],3,FALSE),0)</f>
        <v>0</v>
      </c>
      <c r="V87" s="202">
        <f>Ruimtestaat[[#This Row],[Uitvoeringen werkdagen]]*Ruimtestaat[[#This Row],[Oppervlak (netto)]]</f>
        <v>17716.649999999998</v>
      </c>
      <c r="W87" s="242">
        <f>IF(U87&gt;0,Ruimtestaat[[#This Row],[Prest. (m2 /jaar) werkdagen]]/Ruimtestaat[[#This Row],[Norm (m2/uur) werkdagen]],0)</f>
        <v>0</v>
      </c>
      <c r="X87" s="243">
        <f>Ruimtestaat[[#This Row],[uren / jaar werkdagen]]*Tariefsopbouw!$D$38</f>
        <v>0</v>
      </c>
      <c r="Y87" s="33"/>
      <c r="Z87" s="33">
        <f>IF(Ruimtestaat[[#This Row],[Frequentie weekend]]&gt;0,VALUE(LEFT(Y87,1))*R87,0)</f>
        <v>0</v>
      </c>
      <c r="AA87" s="33">
        <f>IF($Z87&gt;0,VLOOKUP($J87,Ruimtegroepen[],3,FALSE)*VLOOKUP($L87,Vloersoorten[],3,FALSE)*VLOOKUP($Y87,Frequenties[],3,FALSE)*VLOOKUP(#REF!,Locaties[],3,FALSE),0)</f>
        <v>0</v>
      </c>
      <c r="AB87" s="33"/>
      <c r="AC87" s="33"/>
      <c r="AD87" s="33">
        <f>Ruimtestaat[[#This Row],[uren / jaar weekend]]*Tariefsopbouw!$D$40</f>
        <v>0</v>
      </c>
      <c r="AE87" s="86">
        <f>Ruimtestaat[[#This Row],[Prest. (m2 /jaar) weekend]]+Ruimtestaat[[#This Row],[Prest. (m2 /jaar) werkdagen]]</f>
        <v>17716.649999999998</v>
      </c>
      <c r="AF87" s="86">
        <f>Ruimtestaat[[#This Row],[uren / jaar weekend]]+Ruimtestaat[[#This Row],[uren / jaar werkdagen]]</f>
        <v>0</v>
      </c>
      <c r="AG87" s="87">
        <f>Ruimtestaat[[#This Row],[kosten / jaar weekend]]+Ruimtestaat[[#This Row],[kosten / jaar werkdagen]]</f>
        <v>0</v>
      </c>
    </row>
    <row r="88" spans="1:220" ht="15" customHeight="1">
      <c r="A88" s="246">
        <v>2</v>
      </c>
      <c r="B88" s="21" t="str">
        <f>VLOOKUP(Ruimtestaat[[#This Row],[Code]],Locaties[#All],2,FALSE)</f>
        <v>Losser</v>
      </c>
      <c r="C88" s="247" t="str">
        <f>VLOOKUP(Ruimtestaat[[#This Row],[Code]],Locaties[#All],4,FALSE)</f>
        <v>Oranjestraat 2</v>
      </c>
      <c r="D88" s="247" t="str">
        <f>VLOOKUP(Ruimtestaat[[#This Row],[Code]],Locaties[#All],5,FALSE)</f>
        <v>7607 BJ </v>
      </c>
      <c r="E88" s="187" t="str">
        <f>VLOOKUP(Ruimtestaat[[#This Row],[Code]],Locaties[#All],6,FALSE)</f>
        <v>Losser</v>
      </c>
      <c r="F88" s="248"/>
      <c r="G88" s="246" t="s">
        <v>679</v>
      </c>
      <c r="H88" s="246" t="s">
        <v>423</v>
      </c>
      <c r="I88" s="248" t="s">
        <v>557</v>
      </c>
      <c r="J88" s="187">
        <v>2</v>
      </c>
      <c r="K88" s="187" t="str">
        <f>VLOOKUP(Ruimtestaat[[#This Row],[Ruimte code]],Ruimtegroepen[#All],2,FALSE)</f>
        <v>Kantoren/kantoortuin</v>
      </c>
      <c r="L88" s="231" t="s">
        <v>109</v>
      </c>
      <c r="M88" s="249" t="s">
        <v>1203</v>
      </c>
      <c r="N88" s="200">
        <v>25.2</v>
      </c>
      <c r="O88" s="190"/>
      <c r="P88" s="231" t="str">
        <f>VLOOKUP(Ruimtestaat[[#This Row],[Ruimte code]],Ruimtegroepen[#All],4,FALSE)</f>
        <v>B  (Bureauruimte)</v>
      </c>
      <c r="Q88" s="201"/>
      <c r="R88" s="202">
        <v>42</v>
      </c>
      <c r="S88" s="202" t="s">
        <v>18</v>
      </c>
      <c r="T88" s="202">
        <f>IF(R88&gt;0,IF(RIGHT(Ruimtestaat[[#This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126</v>
      </c>
      <c r="U88" s="202">
        <f>IF(T88&gt;0,VLOOKUP($J88,Ruimtegroepen[],3,FALSE)*VLOOKUP($L88,Vloersoorten[],3,FALSE)*VLOOKUP($S88,Frequenties[],3,FALSE)*VLOOKUP($A88,Locaties[],3,FALSE),0)</f>
        <v>0</v>
      </c>
      <c r="V88" s="202">
        <f>Ruimtestaat[[#This Row],[Uitvoeringen werkdagen]]*Ruimtestaat[[#This Row],[Oppervlak (netto)]]</f>
        <v>3175.2</v>
      </c>
      <c r="W88" s="242">
        <f>IF(U88&gt;0,Ruimtestaat[[#This Row],[Prest. (m2 /jaar) werkdagen]]/Ruimtestaat[[#This Row],[Norm (m2/uur) werkdagen]],0)</f>
        <v>0</v>
      </c>
      <c r="X88" s="243">
        <f>Ruimtestaat[[#This Row],[uren / jaar werkdagen]]*Tariefsopbouw!$D$38</f>
        <v>0</v>
      </c>
      <c r="Y88" s="33"/>
      <c r="Z88" s="33">
        <f>IF(Ruimtestaat[[#This Row],[Frequentie weekend]]&gt;0,VALUE(LEFT(Y88,1))*R88,0)</f>
        <v>0</v>
      </c>
      <c r="AA88" s="33">
        <f>IF($Z88&gt;0,VLOOKUP($J88,Ruimtegroepen[],3,FALSE)*VLOOKUP($L88,Vloersoorten[],3,FALSE)*VLOOKUP($Y88,Frequenties[],3,FALSE)*VLOOKUP(#REF!,Locaties[],3,FALSE),0)</f>
        <v>0</v>
      </c>
      <c r="AB88" s="33"/>
      <c r="AC88" s="33"/>
      <c r="AD88" s="33">
        <f>Ruimtestaat[[#This Row],[uren / jaar weekend]]*Tariefsopbouw!$D$40</f>
        <v>0</v>
      </c>
      <c r="AE88" s="86">
        <f>Ruimtestaat[[#This Row],[Prest. (m2 /jaar) weekend]]+Ruimtestaat[[#This Row],[Prest. (m2 /jaar) werkdagen]]</f>
        <v>3175.2</v>
      </c>
      <c r="AF88" s="86">
        <f>Ruimtestaat[[#This Row],[uren / jaar weekend]]+Ruimtestaat[[#This Row],[uren / jaar werkdagen]]</f>
        <v>0</v>
      </c>
      <c r="AG88" s="87">
        <f>Ruimtestaat[[#This Row],[kosten / jaar weekend]]+Ruimtestaat[[#This Row],[kosten / jaar werkdagen]]</f>
        <v>0</v>
      </c>
    </row>
    <row r="89" spans="1:220" ht="15" customHeight="1">
      <c r="A89" s="246">
        <v>2</v>
      </c>
      <c r="B89" s="21" t="str">
        <f>VLOOKUP(Ruimtestaat[[#This Row],[Code]],Locaties[#All],2,FALSE)</f>
        <v>Losser</v>
      </c>
      <c r="C89" s="247" t="str">
        <f>VLOOKUP(Ruimtestaat[[#This Row],[Code]],Locaties[#All],4,FALSE)</f>
        <v>Oranjestraat 2</v>
      </c>
      <c r="D89" s="247" t="str">
        <f>VLOOKUP(Ruimtestaat[[#This Row],[Code]],Locaties[#All],5,FALSE)</f>
        <v>7607 BJ </v>
      </c>
      <c r="E89" s="187" t="str">
        <f>VLOOKUP(Ruimtestaat[[#This Row],[Code]],Locaties[#All],6,FALSE)</f>
        <v>Losser</v>
      </c>
      <c r="F89" s="248"/>
      <c r="G89" s="246" t="s">
        <v>679</v>
      </c>
      <c r="H89" s="246" t="s">
        <v>425</v>
      </c>
      <c r="I89" s="248" t="s">
        <v>1152</v>
      </c>
      <c r="J89" s="187">
        <v>12</v>
      </c>
      <c r="K89" s="187" t="str">
        <f>VLOOKUP(Ruimtestaat[[#This Row],[Ruimte code]],Ruimtegroepen[#All],2,FALSE)</f>
        <v>Kantine/aula</v>
      </c>
      <c r="L89" s="231" t="s">
        <v>109</v>
      </c>
      <c r="M89" s="249" t="s">
        <v>1203</v>
      </c>
      <c r="N89" s="200">
        <v>130.35550000000001</v>
      </c>
      <c r="O89" s="190"/>
      <c r="P89" s="231" t="str">
        <f>VLOOKUP(Ruimtestaat[[#This Row],[Ruimte code]],Ruimtegroepen[#All],4,FALSE)</f>
        <v>V  (Verkeersruimte)</v>
      </c>
      <c r="Q89" s="201"/>
      <c r="R89" s="202">
        <v>42</v>
      </c>
      <c r="S89" s="202" t="s">
        <v>2</v>
      </c>
      <c r="T89" s="202">
        <f>IF(R89&gt;0,IF(RIGHT(Ruimtestaat[[#This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9" s="202">
        <f>IF(T89&gt;0,VLOOKUP($J89,Ruimtegroepen[],3,FALSE)*VLOOKUP($L89,Vloersoorten[],3,FALSE)*VLOOKUP($S89,Frequenties[],3,FALSE)*VLOOKUP($A89,Locaties[],3,FALSE),0)</f>
        <v>0</v>
      </c>
      <c r="V89" s="202">
        <f>Ruimtestaat[[#This Row],[Uitvoeringen werkdagen]]*Ruimtestaat[[#This Row],[Oppervlak (netto)]]</f>
        <v>27374.655000000002</v>
      </c>
      <c r="W89" s="242">
        <f>IF(U89&gt;0,Ruimtestaat[[#This Row],[Prest. (m2 /jaar) werkdagen]]/Ruimtestaat[[#This Row],[Norm (m2/uur) werkdagen]],0)</f>
        <v>0</v>
      </c>
      <c r="X89" s="243">
        <f>Ruimtestaat[[#This Row],[uren / jaar werkdagen]]*Tariefsopbouw!$D$38</f>
        <v>0</v>
      </c>
      <c r="Y89" s="33"/>
      <c r="Z89" s="33">
        <f>IF(Ruimtestaat[[#This Row],[Frequentie weekend]]&gt;0,VALUE(LEFT(Y89,1))*R89,0)</f>
        <v>0</v>
      </c>
      <c r="AA89" s="33">
        <f>IF($Z89&gt;0,VLOOKUP($J89,Ruimtegroepen[],3,FALSE)*VLOOKUP($L89,Vloersoorten[],3,FALSE)*VLOOKUP($Y89,Frequenties[],3,FALSE)*VLOOKUP(#REF!,Locaties[],3,FALSE),0)</f>
        <v>0</v>
      </c>
      <c r="AB89" s="33"/>
      <c r="AC89" s="33"/>
      <c r="AD89" s="33">
        <f>Ruimtestaat[[#This Row],[uren / jaar weekend]]*Tariefsopbouw!$D$40</f>
        <v>0</v>
      </c>
      <c r="AE89" s="86">
        <f>Ruimtestaat[[#This Row],[Prest. (m2 /jaar) weekend]]+Ruimtestaat[[#This Row],[Prest. (m2 /jaar) werkdagen]]</f>
        <v>27374.655000000002</v>
      </c>
      <c r="AF89" s="86">
        <f>Ruimtestaat[[#This Row],[uren / jaar weekend]]+Ruimtestaat[[#This Row],[uren / jaar werkdagen]]</f>
        <v>0</v>
      </c>
      <c r="AG89" s="87">
        <f>Ruimtestaat[[#This Row],[kosten / jaar weekend]]+Ruimtestaat[[#This Row],[kosten / jaar werkdagen]]</f>
        <v>0</v>
      </c>
    </row>
    <row r="90" spans="1:220" ht="15" customHeight="1">
      <c r="A90" s="246">
        <v>2</v>
      </c>
      <c r="B90" s="21" t="str">
        <f>VLOOKUP(Ruimtestaat[[#This Row],[Code]],Locaties[#All],2,FALSE)</f>
        <v>Losser</v>
      </c>
      <c r="C90" s="247" t="str">
        <f>VLOOKUP(Ruimtestaat[[#This Row],[Code]],Locaties[#All],4,FALSE)</f>
        <v>Oranjestraat 2</v>
      </c>
      <c r="D90" s="247" t="str">
        <f>VLOOKUP(Ruimtestaat[[#This Row],[Code]],Locaties[#All],5,FALSE)</f>
        <v>7607 BJ </v>
      </c>
      <c r="E90" s="187" t="str">
        <f>VLOOKUP(Ruimtestaat[[#This Row],[Code]],Locaties[#All],6,FALSE)</f>
        <v>Losser</v>
      </c>
      <c r="F90" s="248"/>
      <c r="G90" s="246" t="s">
        <v>679</v>
      </c>
      <c r="H90" s="246" t="s">
        <v>426</v>
      </c>
      <c r="I90" s="248" t="s">
        <v>1153</v>
      </c>
      <c r="J90" s="187">
        <v>7</v>
      </c>
      <c r="K90" s="187" t="str">
        <f>VLOOKUP(Ruimtestaat[[#This Row],[Ruimte code]],Ruimtegroepen[#All],2,FALSE)</f>
        <v>Entree / buitenentree</v>
      </c>
      <c r="L90" s="231" t="s">
        <v>109</v>
      </c>
      <c r="M90" s="249" t="s">
        <v>1203</v>
      </c>
      <c r="N90" s="200">
        <v>6.8723999999999998</v>
      </c>
      <c r="O90" s="190"/>
      <c r="P90" s="231" t="str">
        <f>VLOOKUP(Ruimtestaat[[#This Row],[Ruimte code]],Ruimtegroepen[#All],4,FALSE)</f>
        <v>V  (Verkeersruimte)</v>
      </c>
      <c r="Q90" s="201"/>
      <c r="R90" s="202">
        <v>42</v>
      </c>
      <c r="S90" s="202" t="s">
        <v>2</v>
      </c>
      <c r="T90" s="202">
        <f>IF(R90&gt;0,IF(RIGHT(Ruimtestaat[[#This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90" s="202">
        <f>IF(T90&gt;0,VLOOKUP($J90,Ruimtegroepen[],3,FALSE)*VLOOKUP($L90,Vloersoorten[],3,FALSE)*VLOOKUP($S90,Frequenties[],3,FALSE)*VLOOKUP($A90,Locaties[],3,FALSE),0)</f>
        <v>0</v>
      </c>
      <c r="V90" s="202">
        <f>Ruimtestaat[[#This Row],[Uitvoeringen werkdagen]]*Ruimtestaat[[#This Row],[Oppervlak (netto)]]</f>
        <v>1443.204</v>
      </c>
      <c r="W90" s="242">
        <f>IF(U90&gt;0,Ruimtestaat[[#This Row],[Prest. (m2 /jaar) werkdagen]]/Ruimtestaat[[#This Row],[Norm (m2/uur) werkdagen]],0)</f>
        <v>0</v>
      </c>
      <c r="X90" s="243">
        <f>Ruimtestaat[[#This Row],[uren / jaar werkdagen]]*Tariefsopbouw!$D$38</f>
        <v>0</v>
      </c>
      <c r="Y90" s="33"/>
      <c r="Z90" s="33">
        <f>IF(Ruimtestaat[[#This Row],[Frequentie weekend]]&gt;0,VALUE(LEFT(Y90,1))*R90,0)</f>
        <v>0</v>
      </c>
      <c r="AA90" s="33">
        <f>IF($Z90&gt;0,VLOOKUP($J90,Ruimtegroepen[],3,FALSE)*VLOOKUP($L90,Vloersoorten[],3,FALSE)*VLOOKUP($Y90,Frequenties[],3,FALSE)*VLOOKUP(#REF!,Locaties[],3,FALSE),0)</f>
        <v>0</v>
      </c>
      <c r="AB90" s="33"/>
      <c r="AC90" s="33"/>
      <c r="AD90" s="33">
        <f>Ruimtestaat[[#This Row],[uren / jaar weekend]]*Tariefsopbouw!$D$40</f>
        <v>0</v>
      </c>
      <c r="AE90" s="86">
        <f>Ruimtestaat[[#This Row],[Prest. (m2 /jaar) weekend]]+Ruimtestaat[[#This Row],[Prest. (m2 /jaar) werkdagen]]</f>
        <v>1443.204</v>
      </c>
      <c r="AF90" s="86">
        <f>Ruimtestaat[[#This Row],[uren / jaar weekend]]+Ruimtestaat[[#This Row],[uren / jaar werkdagen]]</f>
        <v>0</v>
      </c>
      <c r="AG90" s="87">
        <f>Ruimtestaat[[#This Row],[kosten / jaar weekend]]+Ruimtestaat[[#This Row],[kosten / jaar werkdagen]]</f>
        <v>0</v>
      </c>
    </row>
    <row r="91" spans="1:220" ht="15" customHeight="1">
      <c r="A91" s="246">
        <v>2</v>
      </c>
      <c r="B91" s="21" t="str">
        <f>VLOOKUP(Ruimtestaat[[#This Row],[Code]],Locaties[#All],2,FALSE)</f>
        <v>Losser</v>
      </c>
      <c r="C91" s="247" t="str">
        <f>VLOOKUP(Ruimtestaat[[#This Row],[Code]],Locaties[#All],4,FALSE)</f>
        <v>Oranjestraat 2</v>
      </c>
      <c r="D91" s="247" t="str">
        <f>VLOOKUP(Ruimtestaat[[#This Row],[Code]],Locaties[#All],5,FALSE)</f>
        <v>7607 BJ </v>
      </c>
      <c r="E91" s="187" t="str">
        <f>VLOOKUP(Ruimtestaat[[#This Row],[Code]],Locaties[#All],6,FALSE)</f>
        <v>Losser</v>
      </c>
      <c r="F91" s="248"/>
      <c r="G91" s="246" t="s">
        <v>679</v>
      </c>
      <c r="H91" s="246" t="s">
        <v>427</v>
      </c>
      <c r="I91" s="248" t="s">
        <v>1154</v>
      </c>
      <c r="J91" s="247">
        <v>13</v>
      </c>
      <c r="K91" s="247" t="str">
        <f>VLOOKUP(Ruimtestaat[[#This Row],[Ruimte code]],Ruimtegroepen[#All],2,FALSE)</f>
        <v>Personeelskamer</v>
      </c>
      <c r="L91" s="231" t="s">
        <v>109</v>
      </c>
      <c r="M91" s="249" t="s">
        <v>1203</v>
      </c>
      <c r="N91" s="200">
        <v>20.765499999999999</v>
      </c>
      <c r="O91" s="190"/>
      <c r="P91" s="231" t="str">
        <f>VLOOKUP(Ruimtestaat[[#This Row],[Ruimte code]],Ruimtegroepen[#All],4,FALSE)</f>
        <v>V  (Verkeersruimte)</v>
      </c>
      <c r="Q91" s="201"/>
      <c r="R91" s="202">
        <v>42</v>
      </c>
      <c r="S91" s="202" t="s">
        <v>2</v>
      </c>
      <c r="T91" s="202">
        <f>IF(R91&gt;0,IF(RIGHT(Ruimtestaat[[#This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91" s="202">
        <f>IF(T91&gt;0,VLOOKUP($J91,Ruimtegroepen[],3,FALSE)*VLOOKUP($L91,Vloersoorten[],3,FALSE)*VLOOKUP($S91,Frequenties[],3,FALSE)*VLOOKUP($A91,Locaties[],3,FALSE),0)</f>
        <v>0</v>
      </c>
      <c r="V91" s="202">
        <f>Ruimtestaat[[#This Row],[Uitvoeringen werkdagen]]*Ruimtestaat[[#This Row],[Oppervlak (netto)]]</f>
        <v>4360.7550000000001</v>
      </c>
      <c r="W91" s="242">
        <f>IF(U91&gt;0,Ruimtestaat[[#This Row],[Prest. (m2 /jaar) werkdagen]]/Ruimtestaat[[#This Row],[Norm (m2/uur) werkdagen]],0)</f>
        <v>0</v>
      </c>
      <c r="X91" s="243">
        <f>Ruimtestaat[[#This Row],[uren / jaar werkdagen]]*Tariefsopbouw!$D$38</f>
        <v>0</v>
      </c>
      <c r="Y91" s="33"/>
      <c r="Z91" s="33">
        <f>IF(Ruimtestaat[[#This Row],[Frequentie weekend]]&gt;0,VALUE(LEFT(Y91,1))*R91,0)</f>
        <v>0</v>
      </c>
      <c r="AA91" s="33">
        <f>IF($Z91&gt;0,VLOOKUP($J91,Ruimtegroepen[],3,FALSE)*VLOOKUP($L91,Vloersoorten[],3,FALSE)*VLOOKUP($Y91,Frequenties[],3,FALSE)*VLOOKUP(#REF!,Locaties[],3,FALSE),0)</f>
        <v>0</v>
      </c>
      <c r="AB91" s="33"/>
      <c r="AC91" s="33"/>
      <c r="AD91" s="33">
        <f>Ruimtestaat[[#This Row],[uren / jaar weekend]]*Tariefsopbouw!$D$40</f>
        <v>0</v>
      </c>
      <c r="AE91" s="86">
        <f>Ruimtestaat[[#This Row],[Prest. (m2 /jaar) weekend]]+Ruimtestaat[[#This Row],[Prest. (m2 /jaar) werkdagen]]</f>
        <v>4360.7550000000001</v>
      </c>
      <c r="AF91" s="86">
        <f>Ruimtestaat[[#This Row],[uren / jaar weekend]]+Ruimtestaat[[#This Row],[uren / jaar werkdagen]]</f>
        <v>0</v>
      </c>
      <c r="AG91" s="87">
        <f>Ruimtestaat[[#This Row],[kosten / jaar weekend]]+Ruimtestaat[[#This Row],[kosten / jaar werkdagen]]</f>
        <v>0</v>
      </c>
    </row>
    <row r="92" spans="1:220" ht="15" customHeight="1">
      <c r="A92" s="246">
        <v>2</v>
      </c>
      <c r="B92" s="21" t="str">
        <f>VLOOKUP(Ruimtestaat[[#This Row],[Code]],Locaties[#All],2,FALSE)</f>
        <v>Losser</v>
      </c>
      <c r="C92" s="247" t="str">
        <f>VLOOKUP(Ruimtestaat[[#This Row],[Code]],Locaties[#All],4,FALSE)</f>
        <v>Oranjestraat 2</v>
      </c>
      <c r="D92" s="247" t="str">
        <f>VLOOKUP(Ruimtestaat[[#This Row],[Code]],Locaties[#All],5,FALSE)</f>
        <v>7607 BJ </v>
      </c>
      <c r="E92" s="187" t="str">
        <f>VLOOKUP(Ruimtestaat[[#This Row],[Code]],Locaties[#All],6,FALSE)</f>
        <v>Losser</v>
      </c>
      <c r="F92" s="248"/>
      <c r="G92" s="246" t="s">
        <v>679</v>
      </c>
      <c r="H92" s="246" t="s">
        <v>429</v>
      </c>
      <c r="I92" s="248" t="s">
        <v>700</v>
      </c>
      <c r="J92" s="187">
        <v>2</v>
      </c>
      <c r="K92" s="187" t="str">
        <f>VLOOKUP(Ruimtestaat[[#This Row],[Ruimte code]],Ruimtegroepen[#All],2,FALSE)</f>
        <v>Kantoren/kantoortuin</v>
      </c>
      <c r="L92" s="231" t="s">
        <v>109</v>
      </c>
      <c r="M92" s="249" t="s">
        <v>1203</v>
      </c>
      <c r="N92" s="200">
        <v>11.5022</v>
      </c>
      <c r="O92" s="190"/>
      <c r="P92" s="231" t="str">
        <f>VLOOKUP(Ruimtestaat[[#This Row],[Ruimte code]],Ruimtegroepen[#All],4,FALSE)</f>
        <v>B  (Bureauruimte)</v>
      </c>
      <c r="Q92" s="201"/>
      <c r="R92" s="202">
        <v>42</v>
      </c>
      <c r="S92" s="202" t="s">
        <v>18</v>
      </c>
      <c r="T92" s="202">
        <f>IF(R92&gt;0,IF(RIGHT(Ruimtestaat[[#This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126</v>
      </c>
      <c r="U92" s="202">
        <f>IF(T92&gt;0,VLOOKUP($J92,Ruimtegroepen[],3,FALSE)*VLOOKUP($L92,Vloersoorten[],3,FALSE)*VLOOKUP($S92,Frequenties[],3,FALSE)*VLOOKUP($A92,Locaties[],3,FALSE),0)</f>
        <v>0</v>
      </c>
      <c r="V92" s="202">
        <f>Ruimtestaat[[#This Row],[Uitvoeringen werkdagen]]*Ruimtestaat[[#This Row],[Oppervlak (netto)]]</f>
        <v>1449.2772</v>
      </c>
      <c r="W92" s="242">
        <f>IF(U92&gt;0,Ruimtestaat[[#This Row],[Prest. (m2 /jaar) werkdagen]]/Ruimtestaat[[#This Row],[Norm (m2/uur) werkdagen]],0)</f>
        <v>0</v>
      </c>
      <c r="X92" s="243">
        <f>Ruimtestaat[[#This Row],[uren / jaar werkdagen]]*Tariefsopbouw!$D$38</f>
        <v>0</v>
      </c>
      <c r="Y92" s="33"/>
      <c r="Z92" s="33">
        <f>IF(Ruimtestaat[[#This Row],[Frequentie weekend]]&gt;0,VALUE(LEFT(Y92,1))*R92,0)</f>
        <v>0</v>
      </c>
      <c r="AA92" s="33">
        <f>IF($Z92&gt;0,VLOOKUP($J92,Ruimtegroepen[],3,FALSE)*VLOOKUP($L92,Vloersoorten[],3,FALSE)*VLOOKUP($Y92,Frequenties[],3,FALSE)*VLOOKUP(#REF!,Locaties[],3,FALSE),0)</f>
        <v>0</v>
      </c>
      <c r="AB92" s="33"/>
      <c r="AC92" s="33"/>
      <c r="AD92" s="33">
        <f>Ruimtestaat[[#This Row],[uren / jaar weekend]]*Tariefsopbouw!$D$40</f>
        <v>0</v>
      </c>
      <c r="AE92" s="86">
        <f>Ruimtestaat[[#This Row],[Prest. (m2 /jaar) weekend]]+Ruimtestaat[[#This Row],[Prest. (m2 /jaar) werkdagen]]</f>
        <v>1449.2772</v>
      </c>
      <c r="AF92" s="86">
        <f>Ruimtestaat[[#This Row],[uren / jaar weekend]]+Ruimtestaat[[#This Row],[uren / jaar werkdagen]]</f>
        <v>0</v>
      </c>
      <c r="AG92" s="87">
        <f>Ruimtestaat[[#This Row],[kosten / jaar weekend]]+Ruimtestaat[[#This Row],[kosten / jaar werkdagen]]</f>
        <v>0</v>
      </c>
    </row>
    <row r="93" spans="1:220" ht="15" customHeight="1">
      <c r="A93" s="246">
        <v>2</v>
      </c>
      <c r="B93" s="21" t="str">
        <f>VLOOKUP(Ruimtestaat[[#This Row],[Code]],Locaties[#All],2,FALSE)</f>
        <v>Losser</v>
      </c>
      <c r="C93" s="247" t="str">
        <f>VLOOKUP(Ruimtestaat[[#This Row],[Code]],Locaties[#All],4,FALSE)</f>
        <v>Oranjestraat 2</v>
      </c>
      <c r="D93" s="247" t="str">
        <f>VLOOKUP(Ruimtestaat[[#This Row],[Code]],Locaties[#All],5,FALSE)</f>
        <v>7607 BJ </v>
      </c>
      <c r="E93" s="187" t="str">
        <f>VLOOKUP(Ruimtestaat[[#This Row],[Code]],Locaties[#All],6,FALSE)</f>
        <v>Losser</v>
      </c>
      <c r="F93" s="248"/>
      <c r="G93" s="246" t="s">
        <v>679</v>
      </c>
      <c r="H93" s="246" t="s">
        <v>431</v>
      </c>
      <c r="I93" s="248" t="s">
        <v>1155</v>
      </c>
      <c r="J93" s="187">
        <v>5</v>
      </c>
      <c r="K93" s="187" t="str">
        <f>VLOOKUP(Ruimtestaat[[#This Row],[Ruimte code]],Ruimtegroepen[#All],2,FALSE)</f>
        <v>Sanitair</v>
      </c>
      <c r="L93" s="231" t="s">
        <v>108</v>
      </c>
      <c r="M93" s="249" t="s">
        <v>1206</v>
      </c>
      <c r="N93" s="200">
        <v>9.68</v>
      </c>
      <c r="O93" s="190"/>
      <c r="P93" s="231" t="str">
        <f>VLOOKUP(Ruimtestaat[[#This Row],[Ruimte code]],Ruimtegroepen[#All],4,FALSE)</f>
        <v>S  (Sanitair)</v>
      </c>
      <c r="Q93" s="201"/>
      <c r="R93" s="202">
        <v>42</v>
      </c>
      <c r="S93" s="202" t="s">
        <v>2</v>
      </c>
      <c r="T93" s="202">
        <f>IF(R93&gt;0,IF(RIGHT(Ruimtestaat[[#This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93" s="202">
        <f>IF(T93&gt;0,VLOOKUP($J93,Ruimtegroepen[],3,FALSE)*VLOOKUP($L93,Vloersoorten[],3,FALSE)*VLOOKUP($S93,Frequenties[],3,FALSE)*VLOOKUP($A93,Locaties[],3,FALSE),0)</f>
        <v>0</v>
      </c>
      <c r="V93" s="202">
        <f>Ruimtestaat[[#This Row],[Uitvoeringen werkdagen]]*Ruimtestaat[[#This Row],[Oppervlak (netto)]]</f>
        <v>2032.8</v>
      </c>
      <c r="W93" s="242">
        <f>IF(U93&gt;0,Ruimtestaat[[#This Row],[Prest. (m2 /jaar) werkdagen]]/Ruimtestaat[[#This Row],[Norm (m2/uur) werkdagen]],0)</f>
        <v>0</v>
      </c>
      <c r="X93" s="243">
        <f>Ruimtestaat[[#This Row],[uren / jaar werkdagen]]*Tariefsopbouw!$D$38</f>
        <v>0</v>
      </c>
      <c r="Y93" s="33"/>
      <c r="Z93" s="33">
        <f>IF(Ruimtestaat[[#This Row],[Frequentie weekend]]&gt;0,VALUE(LEFT(Y93,1))*R93,0)</f>
        <v>0</v>
      </c>
      <c r="AA93" s="33">
        <f>IF($Z93&gt;0,VLOOKUP($J93,Ruimtegroepen[],3,FALSE)*VLOOKUP($L93,Vloersoorten[],3,FALSE)*VLOOKUP($Y93,Frequenties[],3,FALSE)*VLOOKUP(#REF!,Locaties[],3,FALSE),0)</f>
        <v>0</v>
      </c>
      <c r="AB93" s="33"/>
      <c r="AC93" s="33"/>
      <c r="AD93" s="33">
        <f>Ruimtestaat[[#This Row],[uren / jaar weekend]]*Tariefsopbouw!$D$40</f>
        <v>0</v>
      </c>
      <c r="AE93" s="86">
        <f>Ruimtestaat[[#This Row],[Prest. (m2 /jaar) weekend]]+Ruimtestaat[[#This Row],[Prest. (m2 /jaar) werkdagen]]</f>
        <v>2032.8</v>
      </c>
      <c r="AF93" s="86">
        <f>Ruimtestaat[[#This Row],[uren / jaar weekend]]+Ruimtestaat[[#This Row],[uren / jaar werkdagen]]</f>
        <v>0</v>
      </c>
      <c r="AG93" s="87">
        <f>Ruimtestaat[[#This Row],[kosten / jaar weekend]]+Ruimtestaat[[#This Row],[kosten / jaar werkdagen]]</f>
        <v>0</v>
      </c>
    </row>
    <row r="94" spans="1:220" ht="15" customHeight="1">
      <c r="A94" s="246">
        <v>2</v>
      </c>
      <c r="B94" s="21" t="str">
        <f>VLOOKUP(Ruimtestaat[[#This Row],[Code]],Locaties[#All],2,FALSE)</f>
        <v>Losser</v>
      </c>
      <c r="C94" s="247" t="str">
        <f>VLOOKUP(Ruimtestaat[[#This Row],[Code]],Locaties[#All],4,FALSE)</f>
        <v>Oranjestraat 2</v>
      </c>
      <c r="D94" s="247" t="str">
        <f>VLOOKUP(Ruimtestaat[[#This Row],[Code]],Locaties[#All],5,FALSE)</f>
        <v>7607 BJ </v>
      </c>
      <c r="E94" s="187" t="str">
        <f>VLOOKUP(Ruimtestaat[[#This Row],[Code]],Locaties[#All],6,FALSE)</f>
        <v>Losser</v>
      </c>
      <c r="F94" s="248"/>
      <c r="G94" s="246" t="s">
        <v>679</v>
      </c>
      <c r="H94" s="246" t="s">
        <v>805</v>
      </c>
      <c r="I94" s="248" t="s">
        <v>1155</v>
      </c>
      <c r="J94" s="231">
        <v>5</v>
      </c>
      <c r="K94" s="231" t="str">
        <f>VLOOKUP(Ruimtestaat[[#This Row],[Ruimte code]],Ruimtegroepen[#All],2,FALSE)</f>
        <v>Sanitair</v>
      </c>
      <c r="L94" s="231" t="s">
        <v>108</v>
      </c>
      <c r="M94" s="249" t="s">
        <v>1206</v>
      </c>
      <c r="N94" s="200">
        <v>9.68</v>
      </c>
      <c r="O94" s="190"/>
      <c r="P94" s="231" t="str">
        <f>VLOOKUP(Ruimtestaat[[#This Row],[Ruimte code]],Ruimtegroepen[#All],4,FALSE)</f>
        <v>S  (Sanitair)</v>
      </c>
      <c r="Q94" s="201"/>
      <c r="R94" s="202">
        <v>42</v>
      </c>
      <c r="S94" s="202" t="s">
        <v>2</v>
      </c>
      <c r="T94" s="202">
        <f>IF(R94&gt;0,IF(RIGHT(Ruimtestaat[[#This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94" s="202">
        <f>IF(T94&gt;0,VLOOKUP($J94,Ruimtegroepen[],3,FALSE)*VLOOKUP($L94,Vloersoorten[],3,FALSE)*VLOOKUP($S94,Frequenties[],3,FALSE)*VLOOKUP($A94,Locaties[],3,FALSE),0)</f>
        <v>0</v>
      </c>
      <c r="V94" s="202">
        <f>Ruimtestaat[[#This Row],[Uitvoeringen werkdagen]]*Ruimtestaat[[#This Row],[Oppervlak (netto)]]</f>
        <v>2032.8</v>
      </c>
      <c r="W94" s="242">
        <f>IF(U94&gt;0,Ruimtestaat[[#This Row],[Prest. (m2 /jaar) werkdagen]]/Ruimtestaat[[#This Row],[Norm (m2/uur) werkdagen]],0)</f>
        <v>0</v>
      </c>
      <c r="X94" s="243">
        <f>Ruimtestaat[[#This Row],[uren / jaar werkdagen]]*Tariefsopbouw!$D$38</f>
        <v>0</v>
      </c>
      <c r="Y94" s="33"/>
      <c r="Z94" s="33">
        <f>IF(Ruimtestaat[[#This Row],[Frequentie weekend]]&gt;0,VALUE(LEFT(Y94,1))*R94,0)</f>
        <v>0</v>
      </c>
      <c r="AA94" s="33">
        <f>IF($Z94&gt;0,VLOOKUP($J94,Ruimtegroepen[],3,FALSE)*VLOOKUP($L94,Vloersoorten[],3,FALSE)*VLOOKUP($Y94,Frequenties[],3,FALSE)*VLOOKUP(#REF!,Locaties[],3,FALSE),0)</f>
        <v>0</v>
      </c>
      <c r="AB94" s="33"/>
      <c r="AC94" s="33"/>
      <c r="AD94" s="33">
        <f>Ruimtestaat[[#This Row],[uren / jaar weekend]]*Tariefsopbouw!$D$40</f>
        <v>0</v>
      </c>
      <c r="AE94" s="86">
        <f>Ruimtestaat[[#This Row],[Prest. (m2 /jaar) weekend]]+Ruimtestaat[[#This Row],[Prest. (m2 /jaar) werkdagen]]</f>
        <v>2032.8</v>
      </c>
      <c r="AF94" s="86">
        <f>Ruimtestaat[[#This Row],[uren / jaar weekend]]+Ruimtestaat[[#This Row],[uren / jaar werkdagen]]</f>
        <v>0</v>
      </c>
      <c r="AG94" s="87">
        <f>Ruimtestaat[[#This Row],[kosten / jaar weekend]]+Ruimtestaat[[#This Row],[kosten / jaar werkdagen]]</f>
        <v>0</v>
      </c>
    </row>
    <row r="95" spans="1:220" ht="15" customHeight="1">
      <c r="A95" s="246">
        <v>2</v>
      </c>
      <c r="B95" s="21" t="str">
        <f>VLOOKUP(Ruimtestaat[[#This Row],[Code]],Locaties[#All],2,FALSE)</f>
        <v>Losser</v>
      </c>
      <c r="C95" s="247" t="str">
        <f>VLOOKUP(Ruimtestaat[[#This Row],[Code]],Locaties[#All],4,FALSE)</f>
        <v>Oranjestraat 2</v>
      </c>
      <c r="D95" s="247" t="str">
        <f>VLOOKUP(Ruimtestaat[[#This Row],[Code]],Locaties[#All],5,FALSE)</f>
        <v>7607 BJ </v>
      </c>
      <c r="E95" s="187" t="str">
        <f>VLOOKUP(Ruimtestaat[[#This Row],[Code]],Locaties[#All],6,FALSE)</f>
        <v>Losser</v>
      </c>
      <c r="F95" s="248"/>
      <c r="G95" s="246" t="s">
        <v>679</v>
      </c>
      <c r="H95" s="246" t="s">
        <v>432</v>
      </c>
      <c r="I95" s="248" t="s">
        <v>1155</v>
      </c>
      <c r="J95" s="187">
        <v>5</v>
      </c>
      <c r="K95" s="187" t="str">
        <f>VLOOKUP(Ruimtestaat[[#This Row],[Ruimte code]],Ruimtegroepen[#All],2,FALSE)</f>
        <v>Sanitair</v>
      </c>
      <c r="L95" s="231" t="s">
        <v>108</v>
      </c>
      <c r="M95" s="249" t="s">
        <v>1206</v>
      </c>
      <c r="N95" s="200">
        <v>5.58</v>
      </c>
      <c r="O95" s="190"/>
      <c r="P95" s="231" t="str">
        <f>VLOOKUP(Ruimtestaat[[#This Row],[Ruimte code]],Ruimtegroepen[#All],4,FALSE)</f>
        <v>S  (Sanitair)</v>
      </c>
      <c r="Q95" s="201"/>
      <c r="R95" s="202">
        <v>42</v>
      </c>
      <c r="S95" s="202" t="s">
        <v>2</v>
      </c>
      <c r="T95" s="202">
        <f>IF(R95&gt;0,IF(RIGHT(Ruimtestaat[[#This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95" s="202">
        <f>IF(T95&gt;0,VLOOKUP($J95,Ruimtegroepen[],3,FALSE)*VLOOKUP($L95,Vloersoorten[],3,FALSE)*VLOOKUP($S95,Frequenties[],3,FALSE)*VLOOKUP($A95,Locaties[],3,FALSE),0)</f>
        <v>0</v>
      </c>
      <c r="V95" s="202">
        <f>Ruimtestaat[[#This Row],[Uitvoeringen werkdagen]]*Ruimtestaat[[#This Row],[Oppervlak (netto)]]</f>
        <v>1171.8</v>
      </c>
      <c r="W95" s="242">
        <f>IF(U95&gt;0,Ruimtestaat[[#This Row],[Prest. (m2 /jaar) werkdagen]]/Ruimtestaat[[#This Row],[Norm (m2/uur) werkdagen]],0)</f>
        <v>0</v>
      </c>
      <c r="X95" s="243">
        <f>Ruimtestaat[[#This Row],[uren / jaar werkdagen]]*Tariefsopbouw!$D$38</f>
        <v>0</v>
      </c>
      <c r="Y95" s="33"/>
      <c r="Z95" s="33">
        <f>IF(Ruimtestaat[[#This Row],[Frequentie weekend]]&gt;0,VALUE(LEFT(Y95,1))*R95,0)</f>
        <v>0</v>
      </c>
      <c r="AA95" s="33">
        <f>IF($Z95&gt;0,VLOOKUP($J95,Ruimtegroepen[],3,FALSE)*VLOOKUP($L95,Vloersoorten[],3,FALSE)*VLOOKUP($Y95,Frequenties[],3,FALSE)*VLOOKUP(#REF!,Locaties[],3,FALSE),0)</f>
        <v>0</v>
      </c>
      <c r="AB95" s="33"/>
      <c r="AC95" s="33"/>
      <c r="AD95" s="33">
        <f>Ruimtestaat[[#This Row],[uren / jaar weekend]]*Tariefsopbouw!$D$40</f>
        <v>0</v>
      </c>
      <c r="AE95" s="86">
        <f>Ruimtestaat[[#This Row],[Prest. (m2 /jaar) weekend]]+Ruimtestaat[[#This Row],[Prest. (m2 /jaar) werkdagen]]</f>
        <v>1171.8</v>
      </c>
      <c r="AF95" s="86">
        <f>Ruimtestaat[[#This Row],[uren / jaar weekend]]+Ruimtestaat[[#This Row],[uren / jaar werkdagen]]</f>
        <v>0</v>
      </c>
      <c r="AG95" s="87">
        <f>Ruimtestaat[[#This Row],[kosten / jaar weekend]]+Ruimtestaat[[#This Row],[kosten / jaar werkdagen]]</f>
        <v>0</v>
      </c>
    </row>
    <row r="96" spans="1:220" ht="15" customHeight="1">
      <c r="A96" s="246">
        <v>2</v>
      </c>
      <c r="B96" s="21" t="str">
        <f>VLOOKUP(Ruimtestaat[[#This Row],[Code]],Locaties[#All],2,FALSE)</f>
        <v>Losser</v>
      </c>
      <c r="C96" s="247" t="str">
        <f>VLOOKUP(Ruimtestaat[[#This Row],[Code]],Locaties[#All],4,FALSE)</f>
        <v>Oranjestraat 2</v>
      </c>
      <c r="D96" s="247" t="str">
        <f>VLOOKUP(Ruimtestaat[[#This Row],[Code]],Locaties[#All],5,FALSE)</f>
        <v>7607 BJ </v>
      </c>
      <c r="E96" s="187" t="str">
        <f>VLOOKUP(Ruimtestaat[[#This Row],[Code]],Locaties[#All],6,FALSE)</f>
        <v>Losser</v>
      </c>
      <c r="F96" s="248"/>
      <c r="G96" s="246" t="s">
        <v>679</v>
      </c>
      <c r="H96" s="246" t="s">
        <v>434</v>
      </c>
      <c r="I96" s="248" t="s">
        <v>1155</v>
      </c>
      <c r="J96" s="187">
        <v>5</v>
      </c>
      <c r="K96" s="187" t="str">
        <f>VLOOKUP(Ruimtestaat[[#This Row],[Ruimte code]],Ruimtegroepen[#All],2,FALSE)</f>
        <v>Sanitair</v>
      </c>
      <c r="L96" s="231" t="s">
        <v>108</v>
      </c>
      <c r="M96" s="249" t="s">
        <v>1206</v>
      </c>
      <c r="N96" s="200">
        <v>5.58</v>
      </c>
      <c r="O96" s="190"/>
      <c r="P96" s="231" t="str">
        <f>VLOOKUP(Ruimtestaat[[#This Row],[Ruimte code]],Ruimtegroepen[#All],4,FALSE)</f>
        <v>S  (Sanitair)</v>
      </c>
      <c r="Q96" s="201"/>
      <c r="R96" s="202">
        <v>42</v>
      </c>
      <c r="S96" s="202" t="s">
        <v>2</v>
      </c>
      <c r="T96" s="202">
        <f>IF(R96&gt;0,IF(RIGHT(Ruimtestaat[[#This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96" s="202">
        <f>IF(T96&gt;0,VLOOKUP($J96,Ruimtegroepen[],3,FALSE)*VLOOKUP($L96,Vloersoorten[],3,FALSE)*VLOOKUP($S96,Frequenties[],3,FALSE)*VLOOKUP($A96,Locaties[],3,FALSE),0)</f>
        <v>0</v>
      </c>
      <c r="V96" s="202">
        <f>Ruimtestaat[[#This Row],[Uitvoeringen werkdagen]]*Ruimtestaat[[#This Row],[Oppervlak (netto)]]</f>
        <v>1171.8</v>
      </c>
      <c r="W96" s="242">
        <f>IF(U96&gt;0,Ruimtestaat[[#This Row],[Prest. (m2 /jaar) werkdagen]]/Ruimtestaat[[#This Row],[Norm (m2/uur) werkdagen]],0)</f>
        <v>0</v>
      </c>
      <c r="X96" s="243">
        <f>Ruimtestaat[[#This Row],[uren / jaar werkdagen]]*Tariefsopbouw!$D$38</f>
        <v>0</v>
      </c>
      <c r="Y96" s="33"/>
      <c r="Z96" s="33">
        <f>IF(Ruimtestaat[[#This Row],[Frequentie weekend]]&gt;0,VALUE(LEFT(Y96,1))*R96,0)</f>
        <v>0</v>
      </c>
      <c r="AA96" s="33">
        <f>IF($Z96&gt;0,VLOOKUP($J96,Ruimtegroepen[],3,FALSE)*VLOOKUP($L96,Vloersoorten[],3,FALSE)*VLOOKUP($Y96,Frequenties[],3,FALSE)*VLOOKUP(#REF!,Locaties[],3,FALSE),0)</f>
        <v>0</v>
      </c>
      <c r="AB96" s="33"/>
      <c r="AC96" s="33"/>
      <c r="AD96" s="33">
        <f>Ruimtestaat[[#This Row],[uren / jaar weekend]]*Tariefsopbouw!$D$40</f>
        <v>0</v>
      </c>
      <c r="AE96" s="86">
        <f>Ruimtestaat[[#This Row],[Prest. (m2 /jaar) weekend]]+Ruimtestaat[[#This Row],[Prest. (m2 /jaar) werkdagen]]</f>
        <v>1171.8</v>
      </c>
      <c r="AF96" s="86">
        <f>Ruimtestaat[[#This Row],[uren / jaar weekend]]+Ruimtestaat[[#This Row],[uren / jaar werkdagen]]</f>
        <v>0</v>
      </c>
      <c r="AG96" s="87">
        <f>Ruimtestaat[[#This Row],[kosten / jaar weekend]]+Ruimtestaat[[#This Row],[kosten / jaar werkdagen]]</f>
        <v>0</v>
      </c>
    </row>
    <row r="97" spans="1:33" ht="15" customHeight="1">
      <c r="A97" s="246">
        <v>2</v>
      </c>
      <c r="B97" s="21" t="str">
        <f>VLOOKUP(Ruimtestaat[[#This Row],[Code]],Locaties[#All],2,FALSE)</f>
        <v>Losser</v>
      </c>
      <c r="C97" s="247" t="str">
        <f>VLOOKUP(Ruimtestaat[[#This Row],[Code]],Locaties[#All],4,FALSE)</f>
        <v>Oranjestraat 2</v>
      </c>
      <c r="D97" s="247" t="str">
        <f>VLOOKUP(Ruimtestaat[[#This Row],[Code]],Locaties[#All],5,FALSE)</f>
        <v>7607 BJ </v>
      </c>
      <c r="E97" s="187" t="str">
        <f>VLOOKUP(Ruimtestaat[[#This Row],[Code]],Locaties[#All],6,FALSE)</f>
        <v>Losser</v>
      </c>
      <c r="F97" s="248"/>
      <c r="G97" s="246" t="s">
        <v>679</v>
      </c>
      <c r="H97" s="246" t="s">
        <v>435</v>
      </c>
      <c r="I97" s="248" t="s">
        <v>1155</v>
      </c>
      <c r="J97" s="187">
        <v>5</v>
      </c>
      <c r="K97" s="187" t="str">
        <f>VLOOKUP(Ruimtestaat[[#This Row],[Ruimte code]],Ruimtegroepen[#All],2,FALSE)</f>
        <v>Sanitair</v>
      </c>
      <c r="L97" s="231" t="s">
        <v>108</v>
      </c>
      <c r="M97" s="249" t="s">
        <v>1206</v>
      </c>
      <c r="N97" s="200">
        <v>0.99</v>
      </c>
      <c r="O97" s="190"/>
      <c r="P97" s="231" t="str">
        <f>VLOOKUP(Ruimtestaat[[#This Row],[Ruimte code]],Ruimtegroepen[#All],4,FALSE)</f>
        <v>S  (Sanitair)</v>
      </c>
      <c r="Q97" s="201"/>
      <c r="R97" s="202">
        <v>42</v>
      </c>
      <c r="S97" s="202" t="s">
        <v>2</v>
      </c>
      <c r="T97" s="202">
        <f>IF(R97&gt;0,IF(RIGHT(Ruimtestaat[[#This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97" s="202">
        <f>IF(T97&gt;0,VLOOKUP($J97,Ruimtegroepen[],3,FALSE)*VLOOKUP($L97,Vloersoorten[],3,FALSE)*VLOOKUP($S97,Frequenties[],3,FALSE)*VLOOKUP($A97,Locaties[],3,FALSE),0)</f>
        <v>0</v>
      </c>
      <c r="V97" s="202">
        <f>Ruimtestaat[[#This Row],[Uitvoeringen werkdagen]]*Ruimtestaat[[#This Row],[Oppervlak (netto)]]</f>
        <v>207.9</v>
      </c>
      <c r="W97" s="242">
        <f>IF(U97&gt;0,Ruimtestaat[[#This Row],[Prest. (m2 /jaar) werkdagen]]/Ruimtestaat[[#This Row],[Norm (m2/uur) werkdagen]],0)</f>
        <v>0</v>
      </c>
      <c r="X97" s="243">
        <f>Ruimtestaat[[#This Row],[uren / jaar werkdagen]]*Tariefsopbouw!$D$38</f>
        <v>0</v>
      </c>
      <c r="Y97" s="33"/>
      <c r="Z97" s="33">
        <f>IF(Ruimtestaat[[#This Row],[Frequentie weekend]]&gt;0,VALUE(LEFT(Y97,1))*R97,0)</f>
        <v>0</v>
      </c>
      <c r="AA97" s="33">
        <f>IF($Z97&gt;0,VLOOKUP($J97,Ruimtegroepen[],3,FALSE)*VLOOKUP($L97,Vloersoorten[],3,FALSE)*VLOOKUP($Y97,Frequenties[],3,FALSE)*VLOOKUP(#REF!,Locaties[],3,FALSE),0)</f>
        <v>0</v>
      </c>
      <c r="AB97" s="33"/>
      <c r="AC97" s="33"/>
      <c r="AD97" s="33">
        <f>Ruimtestaat[[#This Row],[uren / jaar weekend]]*Tariefsopbouw!$D$40</f>
        <v>0</v>
      </c>
      <c r="AE97" s="86">
        <f>Ruimtestaat[[#This Row],[Prest. (m2 /jaar) weekend]]+Ruimtestaat[[#This Row],[Prest. (m2 /jaar) werkdagen]]</f>
        <v>207.9</v>
      </c>
      <c r="AF97" s="86">
        <f>Ruimtestaat[[#This Row],[uren / jaar weekend]]+Ruimtestaat[[#This Row],[uren / jaar werkdagen]]</f>
        <v>0</v>
      </c>
      <c r="AG97" s="87">
        <f>Ruimtestaat[[#This Row],[kosten / jaar weekend]]+Ruimtestaat[[#This Row],[kosten / jaar werkdagen]]</f>
        <v>0</v>
      </c>
    </row>
    <row r="98" spans="1:33" ht="15" customHeight="1">
      <c r="A98" s="246">
        <v>2</v>
      </c>
      <c r="B98" s="21" t="str">
        <f>VLOOKUP(Ruimtestaat[[#This Row],[Code]],Locaties[#All],2,FALSE)</f>
        <v>Losser</v>
      </c>
      <c r="C98" s="247" t="str">
        <f>VLOOKUP(Ruimtestaat[[#This Row],[Code]],Locaties[#All],4,FALSE)</f>
        <v>Oranjestraat 2</v>
      </c>
      <c r="D98" s="247" t="str">
        <f>VLOOKUP(Ruimtestaat[[#This Row],[Code]],Locaties[#All],5,FALSE)</f>
        <v>7607 BJ </v>
      </c>
      <c r="E98" s="187" t="str">
        <f>VLOOKUP(Ruimtestaat[[#This Row],[Code]],Locaties[#All],6,FALSE)</f>
        <v>Losser</v>
      </c>
      <c r="F98" s="248"/>
      <c r="G98" s="246" t="s">
        <v>679</v>
      </c>
      <c r="H98" s="246" t="s">
        <v>436</v>
      </c>
      <c r="I98" s="248" t="s">
        <v>1155</v>
      </c>
      <c r="J98" s="187">
        <v>5</v>
      </c>
      <c r="K98" s="187" t="str">
        <f>VLOOKUP(Ruimtestaat[[#This Row],[Ruimte code]],Ruimtegroepen[#All],2,FALSE)</f>
        <v>Sanitair</v>
      </c>
      <c r="L98" s="231" t="s">
        <v>108</v>
      </c>
      <c r="M98" s="249" t="s">
        <v>1206</v>
      </c>
      <c r="N98" s="200">
        <v>0.99</v>
      </c>
      <c r="O98" s="190"/>
      <c r="P98" s="231" t="str">
        <f>VLOOKUP(Ruimtestaat[[#This Row],[Ruimte code]],Ruimtegroepen[#All],4,FALSE)</f>
        <v>S  (Sanitair)</v>
      </c>
      <c r="Q98" s="201"/>
      <c r="R98" s="202">
        <v>42</v>
      </c>
      <c r="S98" s="202" t="s">
        <v>2</v>
      </c>
      <c r="T98" s="202">
        <f>IF(R98&gt;0,IF(RIGHT(Ruimtestaat[[#This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98" s="202">
        <f>IF(T98&gt;0,VLOOKUP($J98,Ruimtegroepen[],3,FALSE)*VLOOKUP($L98,Vloersoorten[],3,FALSE)*VLOOKUP($S98,Frequenties[],3,FALSE)*VLOOKUP($A98,Locaties[],3,FALSE),0)</f>
        <v>0</v>
      </c>
      <c r="V98" s="202">
        <f>Ruimtestaat[[#This Row],[Uitvoeringen werkdagen]]*Ruimtestaat[[#This Row],[Oppervlak (netto)]]</f>
        <v>207.9</v>
      </c>
      <c r="W98" s="242">
        <f>IF(U98&gt;0,Ruimtestaat[[#This Row],[Prest. (m2 /jaar) werkdagen]]/Ruimtestaat[[#This Row],[Norm (m2/uur) werkdagen]],0)</f>
        <v>0</v>
      </c>
      <c r="X98" s="243">
        <f>Ruimtestaat[[#This Row],[uren / jaar werkdagen]]*Tariefsopbouw!$D$38</f>
        <v>0</v>
      </c>
      <c r="Y98" s="33"/>
      <c r="Z98" s="33">
        <f>IF(Ruimtestaat[[#This Row],[Frequentie weekend]]&gt;0,VALUE(LEFT(Y98,1))*R98,0)</f>
        <v>0</v>
      </c>
      <c r="AA98" s="33">
        <f>IF($Z98&gt;0,VLOOKUP($J98,Ruimtegroepen[],3,FALSE)*VLOOKUP($L98,Vloersoorten[],3,FALSE)*VLOOKUP($Y98,Frequenties[],3,FALSE)*VLOOKUP(#REF!,Locaties[],3,FALSE),0)</f>
        <v>0</v>
      </c>
      <c r="AB98" s="33"/>
      <c r="AC98" s="33"/>
      <c r="AD98" s="33">
        <f>Ruimtestaat[[#This Row],[uren / jaar weekend]]*Tariefsopbouw!$D$40</f>
        <v>0</v>
      </c>
      <c r="AE98" s="86">
        <f>Ruimtestaat[[#This Row],[Prest. (m2 /jaar) weekend]]+Ruimtestaat[[#This Row],[Prest. (m2 /jaar) werkdagen]]</f>
        <v>207.9</v>
      </c>
      <c r="AF98" s="86">
        <f>Ruimtestaat[[#This Row],[uren / jaar weekend]]+Ruimtestaat[[#This Row],[uren / jaar werkdagen]]</f>
        <v>0</v>
      </c>
      <c r="AG98" s="87">
        <f>Ruimtestaat[[#This Row],[kosten / jaar weekend]]+Ruimtestaat[[#This Row],[kosten / jaar werkdagen]]</f>
        <v>0</v>
      </c>
    </row>
    <row r="99" spans="1:33" ht="15" customHeight="1">
      <c r="A99" s="246">
        <v>2</v>
      </c>
      <c r="B99" s="21" t="str">
        <f>VLOOKUP(Ruimtestaat[[#This Row],[Code]],Locaties[#All],2,FALSE)</f>
        <v>Losser</v>
      </c>
      <c r="C99" s="247" t="str">
        <f>VLOOKUP(Ruimtestaat[[#This Row],[Code]],Locaties[#All],4,FALSE)</f>
        <v>Oranjestraat 2</v>
      </c>
      <c r="D99" s="247" t="str">
        <f>VLOOKUP(Ruimtestaat[[#This Row],[Code]],Locaties[#All],5,FALSE)</f>
        <v>7607 BJ </v>
      </c>
      <c r="E99" s="187" t="str">
        <f>VLOOKUP(Ruimtestaat[[#This Row],[Code]],Locaties[#All],6,FALSE)</f>
        <v>Losser</v>
      </c>
      <c r="F99" s="248"/>
      <c r="G99" s="246" t="s">
        <v>679</v>
      </c>
      <c r="H99" s="246" t="s">
        <v>806</v>
      </c>
      <c r="I99" s="248" t="s">
        <v>1156</v>
      </c>
      <c r="J99" s="187">
        <v>6</v>
      </c>
      <c r="K99" s="187" t="str">
        <f>VLOOKUP(Ruimtestaat[[#This Row],[Ruimte code]],Ruimtegroepen[#All],2,FALSE)</f>
        <v>Gangen/hallen</v>
      </c>
      <c r="L99" s="231" t="s">
        <v>109</v>
      </c>
      <c r="M99" s="249" t="s">
        <v>1203</v>
      </c>
      <c r="N99" s="200">
        <v>91.651499999999999</v>
      </c>
      <c r="O99" s="190"/>
      <c r="P99" s="231" t="str">
        <f>VLOOKUP(Ruimtestaat[[#This Row],[Ruimte code]],Ruimtegroepen[#All],4,FALSE)</f>
        <v>V  (Verkeersruimte)</v>
      </c>
      <c r="Q99" s="201"/>
      <c r="R99" s="202">
        <v>42</v>
      </c>
      <c r="S99" s="202" t="s">
        <v>2</v>
      </c>
      <c r="T99" s="202">
        <f>IF(R99&gt;0,IF(RIGHT(Ruimtestaat[[#This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99" s="202">
        <f>IF(T99&gt;0,VLOOKUP($J99,Ruimtegroepen[],3,FALSE)*VLOOKUP($L99,Vloersoorten[],3,FALSE)*VLOOKUP($S99,Frequenties[],3,FALSE)*VLOOKUP($A99,Locaties[],3,FALSE),0)</f>
        <v>0</v>
      </c>
      <c r="V99" s="202">
        <f>Ruimtestaat[[#This Row],[Uitvoeringen werkdagen]]*Ruimtestaat[[#This Row],[Oppervlak (netto)]]</f>
        <v>19246.814999999999</v>
      </c>
      <c r="W99" s="242">
        <f>IF(U99&gt;0,Ruimtestaat[[#This Row],[Prest. (m2 /jaar) werkdagen]]/Ruimtestaat[[#This Row],[Norm (m2/uur) werkdagen]],0)</f>
        <v>0</v>
      </c>
      <c r="X99" s="243">
        <f>Ruimtestaat[[#This Row],[uren / jaar werkdagen]]*Tariefsopbouw!$D$38</f>
        <v>0</v>
      </c>
      <c r="Y99" s="33"/>
      <c r="Z99" s="33">
        <f>IF(Ruimtestaat[[#This Row],[Frequentie weekend]]&gt;0,VALUE(LEFT(Y99,1))*R99,0)</f>
        <v>0</v>
      </c>
      <c r="AA99" s="33">
        <f>IF($Z99&gt;0,VLOOKUP($J99,Ruimtegroepen[],3,FALSE)*VLOOKUP($L99,Vloersoorten[],3,FALSE)*VLOOKUP($Y99,Frequenties[],3,FALSE)*VLOOKUP(#REF!,Locaties[],3,FALSE),0)</f>
        <v>0</v>
      </c>
      <c r="AB99" s="33"/>
      <c r="AC99" s="33"/>
      <c r="AD99" s="33">
        <f>Ruimtestaat[[#This Row],[uren / jaar weekend]]*Tariefsopbouw!$D$40</f>
        <v>0</v>
      </c>
      <c r="AE99" s="86">
        <f>Ruimtestaat[[#This Row],[Prest. (m2 /jaar) weekend]]+Ruimtestaat[[#This Row],[Prest. (m2 /jaar) werkdagen]]</f>
        <v>19246.814999999999</v>
      </c>
      <c r="AF99" s="86">
        <f>Ruimtestaat[[#This Row],[uren / jaar weekend]]+Ruimtestaat[[#This Row],[uren / jaar werkdagen]]</f>
        <v>0</v>
      </c>
      <c r="AG99" s="87">
        <f>Ruimtestaat[[#This Row],[kosten / jaar weekend]]+Ruimtestaat[[#This Row],[kosten / jaar werkdagen]]</f>
        <v>0</v>
      </c>
    </row>
    <row r="100" spans="1:33" ht="15" customHeight="1">
      <c r="A100" s="246">
        <v>2</v>
      </c>
      <c r="B100" s="21" t="str">
        <f>VLOOKUP(Ruimtestaat[[#This Row],[Code]],Locaties[#All],2,FALSE)</f>
        <v>Losser</v>
      </c>
      <c r="C100" s="247" t="str">
        <f>VLOOKUP(Ruimtestaat[[#This Row],[Code]],Locaties[#All],4,FALSE)</f>
        <v>Oranjestraat 2</v>
      </c>
      <c r="D100" s="247" t="str">
        <f>VLOOKUP(Ruimtestaat[[#This Row],[Code]],Locaties[#All],5,FALSE)</f>
        <v>7607 BJ </v>
      </c>
      <c r="E100" s="187" t="str">
        <f>VLOOKUP(Ruimtestaat[[#This Row],[Code]],Locaties[#All],6,FALSE)</f>
        <v>Losser</v>
      </c>
      <c r="F100" s="248"/>
      <c r="G100" s="246" t="s">
        <v>679</v>
      </c>
      <c r="H100" s="246" t="s">
        <v>438</v>
      </c>
      <c r="I100" s="248" t="s">
        <v>1156</v>
      </c>
      <c r="J100" s="231">
        <v>6</v>
      </c>
      <c r="K100" s="231" t="str">
        <f>VLOOKUP(Ruimtestaat[[#This Row],[Ruimte code]],Ruimtegroepen[#All],2,FALSE)</f>
        <v>Gangen/hallen</v>
      </c>
      <c r="L100" s="231" t="s">
        <v>109</v>
      </c>
      <c r="M100" s="249" t="s">
        <v>1203</v>
      </c>
      <c r="N100" s="200">
        <v>13.89</v>
      </c>
      <c r="O100" s="190"/>
      <c r="P100" s="231" t="str">
        <f>VLOOKUP(Ruimtestaat[[#This Row],[Ruimte code]],Ruimtegroepen[#All],4,FALSE)</f>
        <v>V  (Verkeersruimte)</v>
      </c>
      <c r="Q100" s="201"/>
      <c r="R100" s="202">
        <v>42</v>
      </c>
      <c r="S100" s="202" t="s">
        <v>2</v>
      </c>
      <c r="T100" s="202">
        <f>IF(R100&gt;0,IF(RIGHT(Ruimtestaat[[#This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00" s="202">
        <f>IF(T100&gt;0,VLOOKUP($J100,Ruimtegroepen[],3,FALSE)*VLOOKUP($L100,Vloersoorten[],3,FALSE)*VLOOKUP($S100,Frequenties[],3,FALSE)*VLOOKUP($A100,Locaties[],3,FALSE),0)</f>
        <v>0</v>
      </c>
      <c r="V100" s="202">
        <f>Ruimtestaat[[#This Row],[Uitvoeringen werkdagen]]*Ruimtestaat[[#This Row],[Oppervlak (netto)]]</f>
        <v>2916.9</v>
      </c>
      <c r="W100" s="242">
        <f>IF(U100&gt;0,Ruimtestaat[[#This Row],[Prest. (m2 /jaar) werkdagen]]/Ruimtestaat[[#This Row],[Norm (m2/uur) werkdagen]],0)</f>
        <v>0</v>
      </c>
      <c r="X100" s="243">
        <f>Ruimtestaat[[#This Row],[uren / jaar werkdagen]]*Tariefsopbouw!$D$38</f>
        <v>0</v>
      </c>
      <c r="Y100" s="33"/>
      <c r="Z100" s="33">
        <f>IF(Ruimtestaat[[#This Row],[Frequentie weekend]]&gt;0,VALUE(LEFT(Y100,1))*R100,0)</f>
        <v>0</v>
      </c>
      <c r="AA100" s="33">
        <f>IF($Z100&gt;0,VLOOKUP($J100,Ruimtegroepen[],3,FALSE)*VLOOKUP($L100,Vloersoorten[],3,FALSE)*VLOOKUP($Y100,Frequenties[],3,FALSE)*VLOOKUP(#REF!,Locaties[],3,FALSE),0)</f>
        <v>0</v>
      </c>
      <c r="AB100" s="33"/>
      <c r="AC100" s="33"/>
      <c r="AD100" s="33">
        <f>Ruimtestaat[[#This Row],[uren / jaar weekend]]*Tariefsopbouw!$D$40</f>
        <v>0</v>
      </c>
      <c r="AE100" s="86">
        <f>Ruimtestaat[[#This Row],[Prest. (m2 /jaar) weekend]]+Ruimtestaat[[#This Row],[Prest. (m2 /jaar) werkdagen]]</f>
        <v>2916.9</v>
      </c>
      <c r="AF100" s="86">
        <f>Ruimtestaat[[#This Row],[uren / jaar weekend]]+Ruimtestaat[[#This Row],[uren / jaar werkdagen]]</f>
        <v>0</v>
      </c>
      <c r="AG100" s="87">
        <f>Ruimtestaat[[#This Row],[kosten / jaar weekend]]+Ruimtestaat[[#This Row],[kosten / jaar werkdagen]]</f>
        <v>0</v>
      </c>
    </row>
    <row r="101" spans="1:33" ht="15" customHeight="1">
      <c r="A101" s="246">
        <v>2</v>
      </c>
      <c r="B101" s="21" t="str">
        <f>VLOOKUP(Ruimtestaat[[#This Row],[Code]],Locaties[#All],2,FALSE)</f>
        <v>Losser</v>
      </c>
      <c r="C101" s="247" t="str">
        <f>VLOOKUP(Ruimtestaat[[#This Row],[Code]],Locaties[#All],4,FALSE)</f>
        <v>Oranjestraat 2</v>
      </c>
      <c r="D101" s="247" t="str">
        <f>VLOOKUP(Ruimtestaat[[#This Row],[Code]],Locaties[#All],5,FALSE)</f>
        <v>7607 BJ </v>
      </c>
      <c r="E101" s="187" t="str">
        <f>VLOOKUP(Ruimtestaat[[#This Row],[Code]],Locaties[#All],6,FALSE)</f>
        <v>Losser</v>
      </c>
      <c r="F101" s="248"/>
      <c r="G101" s="246" t="s">
        <v>679</v>
      </c>
      <c r="H101" s="246" t="s">
        <v>439</v>
      </c>
      <c r="I101" s="248" t="s">
        <v>1156</v>
      </c>
      <c r="J101" s="187">
        <v>6</v>
      </c>
      <c r="K101" s="187" t="str">
        <f>VLOOKUP(Ruimtestaat[[#This Row],[Ruimte code]],Ruimtegroepen[#All],2,FALSE)</f>
        <v>Gangen/hallen</v>
      </c>
      <c r="L101" s="231" t="s">
        <v>109</v>
      </c>
      <c r="M101" s="249" t="s">
        <v>1203</v>
      </c>
      <c r="N101" s="200">
        <v>33.698999999999998</v>
      </c>
      <c r="O101" s="190"/>
      <c r="P101" s="231" t="str">
        <f>VLOOKUP(Ruimtestaat[[#This Row],[Ruimte code]],Ruimtegroepen[#All],4,FALSE)</f>
        <v>V  (Verkeersruimte)</v>
      </c>
      <c r="Q101" s="201"/>
      <c r="R101" s="202">
        <v>42</v>
      </c>
      <c r="S101" s="202" t="s">
        <v>2</v>
      </c>
      <c r="T101" s="202">
        <f>IF(R101&gt;0,IF(RIGHT(Ruimtestaat[[#This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01" s="202">
        <f>IF(T101&gt;0,VLOOKUP($J101,Ruimtegroepen[],3,FALSE)*VLOOKUP($L101,Vloersoorten[],3,FALSE)*VLOOKUP($S101,Frequenties[],3,FALSE)*VLOOKUP($A101,Locaties[],3,FALSE),0)</f>
        <v>0</v>
      </c>
      <c r="V101" s="202">
        <f>Ruimtestaat[[#This Row],[Uitvoeringen werkdagen]]*Ruimtestaat[[#This Row],[Oppervlak (netto)]]</f>
        <v>7076.79</v>
      </c>
      <c r="W101" s="242">
        <f>IF(U101&gt;0,Ruimtestaat[[#This Row],[Prest. (m2 /jaar) werkdagen]]/Ruimtestaat[[#This Row],[Norm (m2/uur) werkdagen]],0)</f>
        <v>0</v>
      </c>
      <c r="X101" s="243">
        <f>Ruimtestaat[[#This Row],[uren / jaar werkdagen]]*Tariefsopbouw!$D$38</f>
        <v>0</v>
      </c>
      <c r="Y101" s="33"/>
      <c r="Z101" s="33">
        <f>IF(Ruimtestaat[[#This Row],[Frequentie weekend]]&gt;0,VALUE(LEFT(Y101,1))*R101,0)</f>
        <v>0</v>
      </c>
      <c r="AA101" s="33">
        <f>IF($Z101&gt;0,VLOOKUP($J101,Ruimtegroepen[],3,FALSE)*VLOOKUP($L101,Vloersoorten[],3,FALSE)*VLOOKUP($Y101,Frequenties[],3,FALSE)*VLOOKUP(#REF!,Locaties[],3,FALSE),0)</f>
        <v>0</v>
      </c>
      <c r="AB101" s="33"/>
      <c r="AC101" s="33"/>
      <c r="AD101" s="33">
        <f>Ruimtestaat[[#This Row],[uren / jaar weekend]]*Tariefsopbouw!$D$40</f>
        <v>0</v>
      </c>
      <c r="AE101" s="86">
        <f>Ruimtestaat[[#This Row],[Prest. (m2 /jaar) weekend]]+Ruimtestaat[[#This Row],[Prest. (m2 /jaar) werkdagen]]</f>
        <v>7076.79</v>
      </c>
      <c r="AF101" s="86">
        <f>Ruimtestaat[[#This Row],[uren / jaar weekend]]+Ruimtestaat[[#This Row],[uren / jaar werkdagen]]</f>
        <v>0</v>
      </c>
      <c r="AG101" s="87">
        <f>Ruimtestaat[[#This Row],[kosten / jaar weekend]]+Ruimtestaat[[#This Row],[kosten / jaar werkdagen]]</f>
        <v>0</v>
      </c>
    </row>
    <row r="102" spans="1:33" ht="15" customHeight="1">
      <c r="A102" s="246">
        <v>2</v>
      </c>
      <c r="B102" s="21" t="str">
        <f>VLOOKUP(Ruimtestaat[[#This Row],[Code]],Locaties[#All],2,FALSE)</f>
        <v>Losser</v>
      </c>
      <c r="C102" s="247" t="str">
        <f>VLOOKUP(Ruimtestaat[[#This Row],[Code]],Locaties[#All],4,FALSE)</f>
        <v>Oranjestraat 2</v>
      </c>
      <c r="D102" s="247" t="str">
        <f>VLOOKUP(Ruimtestaat[[#This Row],[Code]],Locaties[#All],5,FALSE)</f>
        <v>7607 BJ </v>
      </c>
      <c r="E102" s="187" t="str">
        <f>VLOOKUP(Ruimtestaat[[#This Row],[Code]],Locaties[#All],6,FALSE)</f>
        <v>Losser</v>
      </c>
      <c r="F102" s="248"/>
      <c r="G102" s="246" t="s">
        <v>679</v>
      </c>
      <c r="H102" s="246" t="s">
        <v>440</v>
      </c>
      <c r="I102" s="248" t="s">
        <v>1156</v>
      </c>
      <c r="J102" s="187">
        <v>6</v>
      </c>
      <c r="K102" s="187" t="str">
        <f>VLOOKUP(Ruimtestaat[[#This Row],[Ruimte code]],Ruimtegroepen[#All],2,FALSE)</f>
        <v>Gangen/hallen</v>
      </c>
      <c r="L102" s="231" t="s">
        <v>109</v>
      </c>
      <c r="M102" s="249" t="s">
        <v>1203</v>
      </c>
      <c r="N102" s="200">
        <v>48.802500000000002</v>
      </c>
      <c r="O102" s="190"/>
      <c r="P102" s="231" t="str">
        <f>VLOOKUP(Ruimtestaat[[#This Row],[Ruimte code]],Ruimtegroepen[#All],4,FALSE)</f>
        <v>V  (Verkeersruimte)</v>
      </c>
      <c r="Q102" s="201"/>
      <c r="R102" s="202">
        <v>42</v>
      </c>
      <c r="S102" s="202" t="s">
        <v>2</v>
      </c>
      <c r="T102" s="202">
        <f>IF(R102&gt;0,IF(RIGHT(Ruimtestaat[[#This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02" s="202">
        <f>IF(T102&gt;0,VLOOKUP($J102,Ruimtegroepen[],3,FALSE)*VLOOKUP($L102,Vloersoorten[],3,FALSE)*VLOOKUP($S102,Frequenties[],3,FALSE)*VLOOKUP($A102,Locaties[],3,FALSE),0)</f>
        <v>0</v>
      </c>
      <c r="V102" s="202">
        <f>Ruimtestaat[[#This Row],[Uitvoeringen werkdagen]]*Ruimtestaat[[#This Row],[Oppervlak (netto)]]</f>
        <v>10248.525</v>
      </c>
      <c r="W102" s="242">
        <f>IF(U102&gt;0,Ruimtestaat[[#This Row],[Prest. (m2 /jaar) werkdagen]]/Ruimtestaat[[#This Row],[Norm (m2/uur) werkdagen]],0)</f>
        <v>0</v>
      </c>
      <c r="X102" s="243">
        <f>Ruimtestaat[[#This Row],[uren / jaar werkdagen]]*Tariefsopbouw!$D$38</f>
        <v>0</v>
      </c>
      <c r="Y102" s="33"/>
      <c r="Z102" s="33">
        <f>IF(Ruimtestaat[[#This Row],[Frequentie weekend]]&gt;0,VALUE(LEFT(Y102,1))*R102,0)</f>
        <v>0</v>
      </c>
      <c r="AA102" s="33">
        <f>IF($Z102&gt;0,VLOOKUP($J102,Ruimtegroepen[],3,FALSE)*VLOOKUP($L102,Vloersoorten[],3,FALSE)*VLOOKUP($Y102,Frequenties[],3,FALSE)*VLOOKUP(#REF!,Locaties[],3,FALSE),0)</f>
        <v>0</v>
      </c>
      <c r="AB102" s="33"/>
      <c r="AC102" s="33"/>
      <c r="AD102" s="33">
        <f>Ruimtestaat[[#This Row],[uren / jaar weekend]]*Tariefsopbouw!$D$40</f>
        <v>0</v>
      </c>
      <c r="AE102" s="86">
        <f>Ruimtestaat[[#This Row],[Prest. (m2 /jaar) weekend]]+Ruimtestaat[[#This Row],[Prest. (m2 /jaar) werkdagen]]</f>
        <v>10248.525</v>
      </c>
      <c r="AF102" s="86">
        <f>Ruimtestaat[[#This Row],[uren / jaar weekend]]+Ruimtestaat[[#This Row],[uren / jaar werkdagen]]</f>
        <v>0</v>
      </c>
      <c r="AG102" s="87">
        <f>Ruimtestaat[[#This Row],[kosten / jaar weekend]]+Ruimtestaat[[#This Row],[kosten / jaar werkdagen]]</f>
        <v>0</v>
      </c>
    </row>
    <row r="103" spans="1:33" ht="15" customHeight="1">
      <c r="A103" s="246">
        <v>2</v>
      </c>
      <c r="B103" s="21" t="str">
        <f>VLOOKUP(Ruimtestaat[[#This Row],[Code]],Locaties[#All],2,FALSE)</f>
        <v>Losser</v>
      </c>
      <c r="C103" s="247" t="str">
        <f>VLOOKUP(Ruimtestaat[[#This Row],[Code]],Locaties[#All],4,FALSE)</f>
        <v>Oranjestraat 2</v>
      </c>
      <c r="D103" s="247" t="str">
        <f>VLOOKUP(Ruimtestaat[[#This Row],[Code]],Locaties[#All],5,FALSE)</f>
        <v>7607 BJ </v>
      </c>
      <c r="E103" s="187" t="str">
        <f>VLOOKUP(Ruimtestaat[[#This Row],[Code]],Locaties[#All],6,FALSE)</f>
        <v>Losser</v>
      </c>
      <c r="F103" s="248"/>
      <c r="G103" s="246" t="s">
        <v>679</v>
      </c>
      <c r="H103" s="246" t="s">
        <v>441</v>
      </c>
      <c r="I103" s="248" t="s">
        <v>1156</v>
      </c>
      <c r="J103" s="187">
        <v>6</v>
      </c>
      <c r="K103" s="187" t="str">
        <f>VLOOKUP(Ruimtestaat[[#This Row],[Ruimte code]],Ruimtegroepen[#All],2,FALSE)</f>
        <v>Gangen/hallen</v>
      </c>
      <c r="L103" s="231" t="s">
        <v>109</v>
      </c>
      <c r="M103" s="249" t="s">
        <v>1203</v>
      </c>
      <c r="N103" s="200">
        <v>32.052999999999997</v>
      </c>
      <c r="O103" s="190"/>
      <c r="P103" s="231" t="str">
        <f>VLOOKUP(Ruimtestaat[[#This Row],[Ruimte code]],Ruimtegroepen[#All],4,FALSE)</f>
        <v>V  (Verkeersruimte)</v>
      </c>
      <c r="Q103" s="201"/>
      <c r="R103" s="202">
        <v>42</v>
      </c>
      <c r="S103" s="202" t="s">
        <v>2</v>
      </c>
      <c r="T103" s="202">
        <f>IF(R103&gt;0,IF(RIGHT(Ruimtestaat[[#This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03" s="202">
        <f>IF(T103&gt;0,VLOOKUP($J103,Ruimtegroepen[],3,FALSE)*VLOOKUP($L103,Vloersoorten[],3,FALSE)*VLOOKUP($S103,Frequenties[],3,FALSE)*VLOOKUP($A103,Locaties[],3,FALSE),0)</f>
        <v>0</v>
      </c>
      <c r="V103" s="202">
        <f>Ruimtestaat[[#This Row],[Uitvoeringen werkdagen]]*Ruimtestaat[[#This Row],[Oppervlak (netto)]]</f>
        <v>6731.1299999999992</v>
      </c>
      <c r="W103" s="242">
        <f>IF(U103&gt;0,Ruimtestaat[[#This Row],[Prest. (m2 /jaar) werkdagen]]/Ruimtestaat[[#This Row],[Norm (m2/uur) werkdagen]],0)</f>
        <v>0</v>
      </c>
      <c r="X103" s="243">
        <f>Ruimtestaat[[#This Row],[uren / jaar werkdagen]]*Tariefsopbouw!$D$38</f>
        <v>0</v>
      </c>
      <c r="Y103" s="33"/>
      <c r="Z103" s="33">
        <f>IF(Ruimtestaat[[#This Row],[Frequentie weekend]]&gt;0,VALUE(LEFT(Y103,1))*R103,0)</f>
        <v>0</v>
      </c>
      <c r="AA103" s="33">
        <f>IF($Z103&gt;0,VLOOKUP($J103,Ruimtegroepen[],3,FALSE)*VLOOKUP($L103,Vloersoorten[],3,FALSE)*VLOOKUP($Y103,Frequenties[],3,FALSE)*VLOOKUP(#REF!,Locaties[],3,FALSE),0)</f>
        <v>0</v>
      </c>
      <c r="AB103" s="33"/>
      <c r="AC103" s="33"/>
      <c r="AD103" s="33">
        <f>Ruimtestaat[[#This Row],[uren / jaar weekend]]*Tariefsopbouw!$D$40</f>
        <v>0</v>
      </c>
      <c r="AE103" s="86">
        <f>Ruimtestaat[[#This Row],[Prest. (m2 /jaar) weekend]]+Ruimtestaat[[#This Row],[Prest. (m2 /jaar) werkdagen]]</f>
        <v>6731.1299999999992</v>
      </c>
      <c r="AF103" s="86">
        <f>Ruimtestaat[[#This Row],[uren / jaar weekend]]+Ruimtestaat[[#This Row],[uren / jaar werkdagen]]</f>
        <v>0</v>
      </c>
      <c r="AG103" s="87">
        <f>Ruimtestaat[[#This Row],[kosten / jaar weekend]]+Ruimtestaat[[#This Row],[kosten / jaar werkdagen]]</f>
        <v>0</v>
      </c>
    </row>
    <row r="104" spans="1:33" ht="15" customHeight="1">
      <c r="A104" s="246">
        <v>2</v>
      </c>
      <c r="B104" s="21" t="str">
        <f>VLOOKUP(Ruimtestaat[[#This Row],[Code]],Locaties[#All],2,FALSE)</f>
        <v>Losser</v>
      </c>
      <c r="C104" s="247" t="str">
        <f>VLOOKUP(Ruimtestaat[[#This Row],[Code]],Locaties[#All],4,FALSE)</f>
        <v>Oranjestraat 2</v>
      </c>
      <c r="D104" s="247" t="str">
        <f>VLOOKUP(Ruimtestaat[[#This Row],[Code]],Locaties[#All],5,FALSE)</f>
        <v>7607 BJ </v>
      </c>
      <c r="E104" s="187" t="str">
        <f>VLOOKUP(Ruimtestaat[[#This Row],[Code]],Locaties[#All],6,FALSE)</f>
        <v>Losser</v>
      </c>
      <c r="F104" s="248"/>
      <c r="G104" s="246" t="s">
        <v>679</v>
      </c>
      <c r="H104" s="246" t="s">
        <v>443</v>
      </c>
      <c r="I104" s="248" t="s">
        <v>1156</v>
      </c>
      <c r="J104" s="231">
        <v>6</v>
      </c>
      <c r="K104" s="231" t="str">
        <f>VLOOKUP(Ruimtestaat[[#This Row],[Ruimte code]],Ruimtegroepen[#All],2,FALSE)</f>
        <v>Gangen/hallen</v>
      </c>
      <c r="L104" s="231" t="s">
        <v>109</v>
      </c>
      <c r="M104" s="249" t="s">
        <v>1203</v>
      </c>
      <c r="N104" s="200">
        <v>61.6036</v>
      </c>
      <c r="O104" s="190"/>
      <c r="P104" s="231" t="str">
        <f>VLOOKUP(Ruimtestaat[[#This Row],[Ruimte code]],Ruimtegroepen[#All],4,FALSE)</f>
        <v>V  (Verkeersruimte)</v>
      </c>
      <c r="Q104" s="201"/>
      <c r="R104" s="202">
        <v>42</v>
      </c>
      <c r="S104" s="202" t="s">
        <v>2</v>
      </c>
      <c r="T104" s="202">
        <f>IF(R104&gt;0,IF(RIGHT(Ruimtestaat[[#This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04" s="202">
        <f>IF(T104&gt;0,VLOOKUP($J104,Ruimtegroepen[],3,FALSE)*VLOOKUP($L104,Vloersoorten[],3,FALSE)*VLOOKUP($S104,Frequenties[],3,FALSE)*VLOOKUP($A104,Locaties[],3,FALSE),0)</f>
        <v>0</v>
      </c>
      <c r="V104" s="202">
        <f>Ruimtestaat[[#This Row],[Uitvoeringen werkdagen]]*Ruimtestaat[[#This Row],[Oppervlak (netto)]]</f>
        <v>12936.755999999999</v>
      </c>
      <c r="W104" s="242">
        <f>IF(U104&gt;0,Ruimtestaat[[#This Row],[Prest. (m2 /jaar) werkdagen]]/Ruimtestaat[[#This Row],[Norm (m2/uur) werkdagen]],0)</f>
        <v>0</v>
      </c>
      <c r="X104" s="243">
        <f>Ruimtestaat[[#This Row],[uren / jaar werkdagen]]*Tariefsopbouw!$D$38</f>
        <v>0</v>
      </c>
      <c r="Y104" s="33"/>
      <c r="Z104" s="33">
        <f>IF(Ruimtestaat[[#This Row],[Frequentie weekend]]&gt;0,VALUE(LEFT(Y104,1))*R104,0)</f>
        <v>0</v>
      </c>
      <c r="AA104" s="33">
        <f>IF($Z104&gt;0,VLOOKUP($J104,Ruimtegroepen[],3,FALSE)*VLOOKUP($L104,Vloersoorten[],3,FALSE)*VLOOKUP($Y104,Frequenties[],3,FALSE)*VLOOKUP(#REF!,Locaties[],3,FALSE),0)</f>
        <v>0</v>
      </c>
      <c r="AB104" s="33"/>
      <c r="AC104" s="33"/>
      <c r="AD104" s="33">
        <f>Ruimtestaat[[#This Row],[uren / jaar weekend]]*Tariefsopbouw!$D$40</f>
        <v>0</v>
      </c>
      <c r="AE104" s="86">
        <f>Ruimtestaat[[#This Row],[Prest. (m2 /jaar) weekend]]+Ruimtestaat[[#This Row],[Prest. (m2 /jaar) werkdagen]]</f>
        <v>12936.755999999999</v>
      </c>
      <c r="AF104" s="86">
        <f>Ruimtestaat[[#This Row],[uren / jaar weekend]]+Ruimtestaat[[#This Row],[uren / jaar werkdagen]]</f>
        <v>0</v>
      </c>
      <c r="AG104" s="87">
        <f>Ruimtestaat[[#This Row],[kosten / jaar weekend]]+Ruimtestaat[[#This Row],[kosten / jaar werkdagen]]</f>
        <v>0</v>
      </c>
    </row>
    <row r="105" spans="1:33" ht="15" customHeight="1">
      <c r="A105" s="246">
        <v>2</v>
      </c>
      <c r="B105" s="21" t="str">
        <f>VLOOKUP(Ruimtestaat[[#This Row],[Code]],Locaties[#All],2,FALSE)</f>
        <v>Losser</v>
      </c>
      <c r="C105" s="247" t="str">
        <f>VLOOKUP(Ruimtestaat[[#This Row],[Code]],Locaties[#All],4,FALSE)</f>
        <v>Oranjestraat 2</v>
      </c>
      <c r="D105" s="247" t="str">
        <f>VLOOKUP(Ruimtestaat[[#This Row],[Code]],Locaties[#All],5,FALSE)</f>
        <v>7607 BJ </v>
      </c>
      <c r="E105" s="187" t="str">
        <f>VLOOKUP(Ruimtestaat[[#This Row],[Code]],Locaties[#All],6,FALSE)</f>
        <v>Losser</v>
      </c>
      <c r="F105" s="248"/>
      <c r="G105" s="246" t="s">
        <v>679</v>
      </c>
      <c r="H105" s="246" t="s">
        <v>407</v>
      </c>
      <c r="I105" s="248" t="s">
        <v>501</v>
      </c>
      <c r="J105" s="187">
        <v>16</v>
      </c>
      <c r="K105" s="187" t="str">
        <f>VLOOKUP(Ruimtestaat[[#This Row],[Ruimte code]],Ruimtegroepen[#All],2,FALSE)</f>
        <v>Leslokalen/computerlokaal</v>
      </c>
      <c r="L105" s="187" t="s">
        <v>109</v>
      </c>
      <c r="M105" s="249" t="s">
        <v>1203</v>
      </c>
      <c r="N105" s="200">
        <v>53.9</v>
      </c>
      <c r="O105" s="190"/>
      <c r="P105" s="231" t="str">
        <f>VLOOKUP(Ruimtestaat[[#This Row],[Ruimte code]],Ruimtegroepen[#All],4,FALSE)</f>
        <v>L  (Lesruimte)</v>
      </c>
      <c r="Q105" s="201"/>
      <c r="R105" s="202">
        <v>42</v>
      </c>
      <c r="S105" s="202" t="s">
        <v>2</v>
      </c>
      <c r="T105" s="202">
        <f>IF(R105&gt;0,IF(RIGHT(Ruimtestaat[[#This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05" s="202">
        <f>IF(T105&gt;0,VLOOKUP($J105,Ruimtegroepen[],3,FALSE)*VLOOKUP($L105,Vloersoorten[],3,FALSE)*VLOOKUP($S105,Frequenties[],3,FALSE)*VLOOKUP($A105,Locaties[],3,FALSE),0)</f>
        <v>0</v>
      </c>
      <c r="V105" s="202">
        <f>Ruimtestaat[[#This Row],[Uitvoeringen werkdagen]]*Ruimtestaat[[#This Row],[Oppervlak (netto)]]</f>
        <v>11319</v>
      </c>
      <c r="W105" s="242">
        <f>IF(U105&gt;0,Ruimtestaat[[#This Row],[Prest. (m2 /jaar) werkdagen]]/Ruimtestaat[[#This Row],[Norm (m2/uur) werkdagen]],0)</f>
        <v>0</v>
      </c>
      <c r="X105" s="243">
        <f>Ruimtestaat[[#This Row],[uren / jaar werkdagen]]*Tariefsopbouw!$D$38</f>
        <v>0</v>
      </c>
      <c r="Y105" s="33"/>
      <c r="Z105" s="33">
        <f>IF(Ruimtestaat[[#This Row],[Frequentie weekend]]&gt;0,VALUE(LEFT(Y105,1))*R105,0)</f>
        <v>0</v>
      </c>
      <c r="AA105" s="33">
        <f>IF($Z105&gt;0,VLOOKUP($J105,Ruimtegroepen[],3,FALSE)*VLOOKUP($L105,Vloersoorten[],3,FALSE)*VLOOKUP($Y105,Frequenties[],3,FALSE)*VLOOKUP(#REF!,Locaties[],3,FALSE),0)</f>
        <v>0</v>
      </c>
      <c r="AB105" s="33"/>
      <c r="AC105" s="33"/>
      <c r="AD105" s="33">
        <f>Ruimtestaat[[#This Row],[uren / jaar weekend]]*Tariefsopbouw!$D$40</f>
        <v>0</v>
      </c>
      <c r="AE105" s="86">
        <f>Ruimtestaat[[#This Row],[Prest. (m2 /jaar) weekend]]+Ruimtestaat[[#This Row],[Prest. (m2 /jaar) werkdagen]]</f>
        <v>11319</v>
      </c>
      <c r="AF105" s="86">
        <f>Ruimtestaat[[#This Row],[uren / jaar weekend]]+Ruimtestaat[[#This Row],[uren / jaar werkdagen]]</f>
        <v>0</v>
      </c>
      <c r="AG105" s="87">
        <f>Ruimtestaat[[#This Row],[kosten / jaar weekend]]+Ruimtestaat[[#This Row],[kosten / jaar werkdagen]]</f>
        <v>0</v>
      </c>
    </row>
    <row r="106" spans="1:33" ht="15" customHeight="1">
      <c r="A106" s="246">
        <v>2</v>
      </c>
      <c r="B106" s="21" t="str">
        <f>VLOOKUP(Ruimtestaat[[#This Row],[Code]],Locaties[#All],2,FALSE)</f>
        <v>Losser</v>
      </c>
      <c r="C106" s="247" t="str">
        <f>VLOOKUP(Ruimtestaat[[#This Row],[Code]],Locaties[#All],4,FALSE)</f>
        <v>Oranjestraat 2</v>
      </c>
      <c r="D106" s="247" t="str">
        <f>VLOOKUP(Ruimtestaat[[#This Row],[Code]],Locaties[#All],5,FALSE)</f>
        <v>7607 BJ </v>
      </c>
      <c r="E106" s="187" t="str">
        <f>VLOOKUP(Ruimtestaat[[#This Row],[Code]],Locaties[#All],6,FALSE)</f>
        <v>Losser</v>
      </c>
      <c r="F106" s="248"/>
      <c r="G106" s="246" t="s">
        <v>679</v>
      </c>
      <c r="H106" s="246" t="s">
        <v>408</v>
      </c>
      <c r="I106" s="248" t="s">
        <v>501</v>
      </c>
      <c r="J106" s="247">
        <v>16</v>
      </c>
      <c r="K106" s="247" t="str">
        <f>VLOOKUP(Ruimtestaat[[#This Row],[Ruimte code]],Ruimtegroepen[#All],2,FALSE)</f>
        <v>Leslokalen/computerlokaal</v>
      </c>
      <c r="L106" s="187" t="s">
        <v>109</v>
      </c>
      <c r="M106" s="249" t="s">
        <v>1203</v>
      </c>
      <c r="N106" s="200">
        <v>51.5</v>
      </c>
      <c r="O106" s="190"/>
      <c r="P106" s="231" t="str">
        <f>VLOOKUP(Ruimtestaat[[#This Row],[Ruimte code]],Ruimtegroepen[#All],4,FALSE)</f>
        <v>L  (Lesruimte)</v>
      </c>
      <c r="Q106" s="201"/>
      <c r="R106" s="202">
        <v>42</v>
      </c>
      <c r="S106" s="202" t="s">
        <v>2</v>
      </c>
      <c r="T106" s="202">
        <f>IF(R106&gt;0,IF(RIGHT(Ruimtestaat[[#This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06" s="202">
        <f>IF(T106&gt;0,VLOOKUP($J106,Ruimtegroepen[],3,FALSE)*VLOOKUP($L106,Vloersoorten[],3,FALSE)*VLOOKUP($S106,Frequenties[],3,FALSE)*VLOOKUP($A106,Locaties[],3,FALSE),0)</f>
        <v>0</v>
      </c>
      <c r="V106" s="202">
        <f>Ruimtestaat[[#This Row],[Uitvoeringen werkdagen]]*Ruimtestaat[[#This Row],[Oppervlak (netto)]]</f>
        <v>10815</v>
      </c>
      <c r="W106" s="242">
        <f>IF(U106&gt;0,Ruimtestaat[[#This Row],[Prest. (m2 /jaar) werkdagen]]/Ruimtestaat[[#This Row],[Norm (m2/uur) werkdagen]],0)</f>
        <v>0</v>
      </c>
      <c r="X106" s="243">
        <f>Ruimtestaat[[#This Row],[uren / jaar werkdagen]]*Tariefsopbouw!$D$38</f>
        <v>0</v>
      </c>
      <c r="Y106" s="33"/>
      <c r="Z106" s="33">
        <f>IF(Ruimtestaat[[#This Row],[Frequentie weekend]]&gt;0,VALUE(LEFT(Y106,1))*R106,0)</f>
        <v>0</v>
      </c>
      <c r="AA106" s="33">
        <f>IF($Z106&gt;0,VLOOKUP($J106,Ruimtegroepen[],3,FALSE)*VLOOKUP($L106,Vloersoorten[],3,FALSE)*VLOOKUP($Y106,Frequenties[],3,FALSE)*VLOOKUP(#REF!,Locaties[],3,FALSE),0)</f>
        <v>0</v>
      </c>
      <c r="AB106" s="33"/>
      <c r="AC106" s="33"/>
      <c r="AD106" s="33">
        <f>Ruimtestaat[[#This Row],[uren / jaar weekend]]*Tariefsopbouw!$D$40</f>
        <v>0</v>
      </c>
      <c r="AE106" s="86">
        <f>Ruimtestaat[[#This Row],[Prest. (m2 /jaar) weekend]]+Ruimtestaat[[#This Row],[Prest. (m2 /jaar) werkdagen]]</f>
        <v>10815</v>
      </c>
      <c r="AF106" s="86">
        <f>Ruimtestaat[[#This Row],[uren / jaar weekend]]+Ruimtestaat[[#This Row],[uren / jaar werkdagen]]</f>
        <v>0</v>
      </c>
      <c r="AG106" s="87">
        <f>Ruimtestaat[[#This Row],[kosten / jaar weekend]]+Ruimtestaat[[#This Row],[kosten / jaar werkdagen]]</f>
        <v>0</v>
      </c>
    </row>
    <row r="107" spans="1:33" ht="15" customHeight="1">
      <c r="A107" s="246">
        <v>2</v>
      </c>
      <c r="B107" s="21" t="str">
        <f>VLOOKUP(Ruimtestaat[[#This Row],[Code]],Locaties[#All],2,FALSE)</f>
        <v>Losser</v>
      </c>
      <c r="C107" s="247" t="str">
        <f>VLOOKUP(Ruimtestaat[[#This Row],[Code]],Locaties[#All],4,FALSE)</f>
        <v>Oranjestraat 2</v>
      </c>
      <c r="D107" s="247" t="str">
        <f>VLOOKUP(Ruimtestaat[[#This Row],[Code]],Locaties[#All],5,FALSE)</f>
        <v>7607 BJ </v>
      </c>
      <c r="E107" s="187" t="str">
        <f>VLOOKUP(Ruimtestaat[[#This Row],[Code]],Locaties[#All],6,FALSE)</f>
        <v>Losser</v>
      </c>
      <c r="F107" s="248"/>
      <c r="G107" s="246" t="s">
        <v>679</v>
      </c>
      <c r="H107" s="246" t="s">
        <v>410</v>
      </c>
      <c r="I107" s="248" t="s">
        <v>501</v>
      </c>
      <c r="J107" s="187">
        <v>16</v>
      </c>
      <c r="K107" s="187" t="str">
        <f>VLOOKUP(Ruimtestaat[[#This Row],[Ruimte code]],Ruimtegroepen[#All],2,FALSE)</f>
        <v>Leslokalen/computerlokaal</v>
      </c>
      <c r="L107" s="187" t="s">
        <v>109</v>
      </c>
      <c r="M107" s="249" t="s">
        <v>1203</v>
      </c>
      <c r="N107" s="200">
        <v>53.7</v>
      </c>
      <c r="O107" s="190"/>
      <c r="P107" s="231" t="str">
        <f>VLOOKUP(Ruimtestaat[[#This Row],[Ruimte code]],Ruimtegroepen[#All],4,FALSE)</f>
        <v>L  (Lesruimte)</v>
      </c>
      <c r="Q107" s="201"/>
      <c r="R107" s="202">
        <v>42</v>
      </c>
      <c r="S107" s="202" t="s">
        <v>2</v>
      </c>
      <c r="T107" s="202">
        <f>IF(R107&gt;0,IF(RIGHT(Ruimtestaat[[#This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07" s="202">
        <f>IF(T107&gt;0,VLOOKUP($J107,Ruimtegroepen[],3,FALSE)*VLOOKUP($L107,Vloersoorten[],3,FALSE)*VLOOKUP($S107,Frequenties[],3,FALSE)*VLOOKUP($A107,Locaties[],3,FALSE),0)</f>
        <v>0</v>
      </c>
      <c r="V107" s="202">
        <f>Ruimtestaat[[#This Row],[Uitvoeringen werkdagen]]*Ruimtestaat[[#This Row],[Oppervlak (netto)]]</f>
        <v>11277</v>
      </c>
      <c r="W107" s="242">
        <f>IF(U107&gt;0,Ruimtestaat[[#This Row],[Prest. (m2 /jaar) werkdagen]]/Ruimtestaat[[#This Row],[Norm (m2/uur) werkdagen]],0)</f>
        <v>0</v>
      </c>
      <c r="X107" s="243">
        <f>Ruimtestaat[[#This Row],[uren / jaar werkdagen]]*Tariefsopbouw!$D$38</f>
        <v>0</v>
      </c>
      <c r="Y107" s="33"/>
      <c r="Z107" s="33">
        <f>IF(Ruimtestaat[[#This Row],[Frequentie weekend]]&gt;0,VALUE(LEFT(Y107,1))*R107,0)</f>
        <v>0</v>
      </c>
      <c r="AA107" s="33">
        <f>IF($Z107&gt;0,VLOOKUP($J107,Ruimtegroepen[],3,FALSE)*VLOOKUP($L107,Vloersoorten[],3,FALSE)*VLOOKUP($Y107,Frequenties[],3,FALSE)*VLOOKUP(#REF!,Locaties[],3,FALSE),0)</f>
        <v>0</v>
      </c>
      <c r="AB107" s="33"/>
      <c r="AC107" s="33"/>
      <c r="AD107" s="33">
        <f>Ruimtestaat[[#This Row],[uren / jaar weekend]]*Tariefsopbouw!$D$40</f>
        <v>0</v>
      </c>
      <c r="AE107" s="86">
        <f>Ruimtestaat[[#This Row],[Prest. (m2 /jaar) weekend]]+Ruimtestaat[[#This Row],[Prest. (m2 /jaar) werkdagen]]</f>
        <v>11277</v>
      </c>
      <c r="AF107" s="86">
        <f>Ruimtestaat[[#This Row],[uren / jaar weekend]]+Ruimtestaat[[#This Row],[uren / jaar werkdagen]]</f>
        <v>0</v>
      </c>
      <c r="AG107" s="87">
        <f>Ruimtestaat[[#This Row],[kosten / jaar weekend]]+Ruimtestaat[[#This Row],[kosten / jaar werkdagen]]</f>
        <v>0</v>
      </c>
    </row>
    <row r="108" spans="1:33" ht="15" customHeight="1">
      <c r="A108" s="246">
        <v>2</v>
      </c>
      <c r="B108" s="21" t="str">
        <f>VLOOKUP(Ruimtestaat[[#This Row],[Code]],Locaties[#All],2,FALSE)</f>
        <v>Losser</v>
      </c>
      <c r="C108" s="247" t="str">
        <f>VLOOKUP(Ruimtestaat[[#This Row],[Code]],Locaties[#All],4,FALSE)</f>
        <v>Oranjestraat 2</v>
      </c>
      <c r="D108" s="247" t="str">
        <f>VLOOKUP(Ruimtestaat[[#This Row],[Code]],Locaties[#All],5,FALSE)</f>
        <v>7607 BJ </v>
      </c>
      <c r="E108" s="187" t="str">
        <f>VLOOKUP(Ruimtestaat[[#This Row],[Code]],Locaties[#All],6,FALSE)</f>
        <v>Losser</v>
      </c>
      <c r="F108" s="248"/>
      <c r="G108" s="246" t="s">
        <v>679</v>
      </c>
      <c r="H108" s="246" t="s">
        <v>411</v>
      </c>
      <c r="I108" s="248" t="s">
        <v>501</v>
      </c>
      <c r="J108" s="187">
        <v>16</v>
      </c>
      <c r="K108" s="187" t="str">
        <f>VLOOKUP(Ruimtestaat[[#This Row],[Ruimte code]],Ruimtegroepen[#All],2,FALSE)</f>
        <v>Leslokalen/computerlokaal</v>
      </c>
      <c r="L108" s="187" t="s">
        <v>109</v>
      </c>
      <c r="M108" s="249" t="s">
        <v>1203</v>
      </c>
      <c r="N108" s="200">
        <v>53.7</v>
      </c>
      <c r="O108" s="190"/>
      <c r="P108" s="231" t="str">
        <f>VLOOKUP(Ruimtestaat[[#This Row],[Ruimte code]],Ruimtegroepen[#All],4,FALSE)</f>
        <v>L  (Lesruimte)</v>
      </c>
      <c r="Q108" s="201"/>
      <c r="R108" s="202">
        <v>42</v>
      </c>
      <c r="S108" s="202" t="s">
        <v>2</v>
      </c>
      <c r="T108" s="202">
        <f>IF(R108&gt;0,IF(RIGHT(Ruimtestaat[[#This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08" s="202">
        <f>IF(T108&gt;0,VLOOKUP($J108,Ruimtegroepen[],3,FALSE)*VLOOKUP($L108,Vloersoorten[],3,FALSE)*VLOOKUP($S108,Frequenties[],3,FALSE)*VLOOKUP($A108,Locaties[],3,FALSE),0)</f>
        <v>0</v>
      </c>
      <c r="V108" s="202">
        <f>Ruimtestaat[[#This Row],[Uitvoeringen werkdagen]]*Ruimtestaat[[#This Row],[Oppervlak (netto)]]</f>
        <v>11277</v>
      </c>
      <c r="W108" s="242">
        <f>IF(U108&gt;0,Ruimtestaat[[#This Row],[Prest. (m2 /jaar) werkdagen]]/Ruimtestaat[[#This Row],[Norm (m2/uur) werkdagen]],0)</f>
        <v>0</v>
      </c>
      <c r="X108" s="243">
        <f>Ruimtestaat[[#This Row],[uren / jaar werkdagen]]*Tariefsopbouw!$D$38</f>
        <v>0</v>
      </c>
      <c r="Y108" s="33"/>
      <c r="Z108" s="33">
        <f>IF(Ruimtestaat[[#This Row],[Frequentie weekend]]&gt;0,VALUE(LEFT(Y108,1))*R108,0)</f>
        <v>0</v>
      </c>
      <c r="AA108" s="33">
        <f>IF($Z108&gt;0,VLOOKUP($J108,Ruimtegroepen[],3,FALSE)*VLOOKUP($L108,Vloersoorten[],3,FALSE)*VLOOKUP($Y108,Frequenties[],3,FALSE)*VLOOKUP(#REF!,Locaties[],3,FALSE),0)</f>
        <v>0</v>
      </c>
      <c r="AB108" s="33"/>
      <c r="AC108" s="33"/>
      <c r="AD108" s="33">
        <f>Ruimtestaat[[#This Row],[uren / jaar weekend]]*Tariefsopbouw!$D$40</f>
        <v>0</v>
      </c>
      <c r="AE108" s="86">
        <f>Ruimtestaat[[#This Row],[Prest. (m2 /jaar) weekend]]+Ruimtestaat[[#This Row],[Prest. (m2 /jaar) werkdagen]]</f>
        <v>11277</v>
      </c>
      <c r="AF108" s="86">
        <f>Ruimtestaat[[#This Row],[uren / jaar weekend]]+Ruimtestaat[[#This Row],[uren / jaar werkdagen]]</f>
        <v>0</v>
      </c>
      <c r="AG108" s="87">
        <f>Ruimtestaat[[#This Row],[kosten / jaar weekend]]+Ruimtestaat[[#This Row],[kosten / jaar werkdagen]]</f>
        <v>0</v>
      </c>
    </row>
    <row r="109" spans="1:33" ht="15" customHeight="1">
      <c r="A109" s="246">
        <v>2</v>
      </c>
      <c r="B109" s="21" t="str">
        <f>VLOOKUP(Ruimtestaat[[#This Row],[Code]],Locaties[#All],2,FALSE)</f>
        <v>Losser</v>
      </c>
      <c r="C109" s="247" t="str">
        <f>VLOOKUP(Ruimtestaat[[#This Row],[Code]],Locaties[#All],4,FALSE)</f>
        <v>Oranjestraat 2</v>
      </c>
      <c r="D109" s="247" t="str">
        <f>VLOOKUP(Ruimtestaat[[#This Row],[Code]],Locaties[#All],5,FALSE)</f>
        <v>7607 BJ </v>
      </c>
      <c r="E109" s="187" t="str">
        <f>VLOOKUP(Ruimtestaat[[#This Row],[Code]],Locaties[#All],6,FALSE)</f>
        <v>Losser</v>
      </c>
      <c r="F109" s="248"/>
      <c r="G109" s="246" t="s">
        <v>679</v>
      </c>
      <c r="H109" s="246" t="s">
        <v>412</v>
      </c>
      <c r="I109" s="248" t="s">
        <v>501</v>
      </c>
      <c r="J109" s="187">
        <v>16</v>
      </c>
      <c r="K109" s="187" t="str">
        <f>VLOOKUP(Ruimtestaat[[#This Row],[Ruimte code]],Ruimtegroepen[#All],2,FALSE)</f>
        <v>Leslokalen/computerlokaal</v>
      </c>
      <c r="L109" s="187" t="s">
        <v>109</v>
      </c>
      <c r="M109" s="249" t="s">
        <v>1203</v>
      </c>
      <c r="N109" s="200">
        <v>53.6</v>
      </c>
      <c r="O109" s="190"/>
      <c r="P109" s="231" t="str">
        <f>VLOOKUP(Ruimtestaat[[#This Row],[Ruimte code]],Ruimtegroepen[#All],4,FALSE)</f>
        <v>L  (Lesruimte)</v>
      </c>
      <c r="Q109" s="201"/>
      <c r="R109" s="202">
        <v>42</v>
      </c>
      <c r="S109" s="202" t="s">
        <v>2</v>
      </c>
      <c r="T109" s="202">
        <f>IF(R109&gt;0,IF(RIGHT(Ruimtestaat[[#This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09" s="202">
        <f>IF(T109&gt;0,VLOOKUP($J109,Ruimtegroepen[],3,FALSE)*VLOOKUP($L109,Vloersoorten[],3,FALSE)*VLOOKUP($S109,Frequenties[],3,FALSE)*VLOOKUP($A109,Locaties[],3,FALSE),0)</f>
        <v>0</v>
      </c>
      <c r="V109" s="202">
        <f>Ruimtestaat[[#This Row],[Uitvoeringen werkdagen]]*Ruimtestaat[[#This Row],[Oppervlak (netto)]]</f>
        <v>11256</v>
      </c>
      <c r="W109" s="242">
        <f>IF(U109&gt;0,Ruimtestaat[[#This Row],[Prest. (m2 /jaar) werkdagen]]/Ruimtestaat[[#This Row],[Norm (m2/uur) werkdagen]],0)</f>
        <v>0</v>
      </c>
      <c r="X109" s="243">
        <f>Ruimtestaat[[#This Row],[uren / jaar werkdagen]]*Tariefsopbouw!$D$38</f>
        <v>0</v>
      </c>
      <c r="Y109" s="33"/>
      <c r="Z109" s="33">
        <f>IF(Ruimtestaat[[#This Row],[Frequentie weekend]]&gt;0,VALUE(LEFT(Y109,1))*R109,0)</f>
        <v>0</v>
      </c>
      <c r="AA109" s="33">
        <f>IF($Z109&gt;0,VLOOKUP($J109,Ruimtegroepen[],3,FALSE)*VLOOKUP($L109,Vloersoorten[],3,FALSE)*VLOOKUP($Y109,Frequenties[],3,FALSE)*VLOOKUP(#REF!,Locaties[],3,FALSE),0)</f>
        <v>0</v>
      </c>
      <c r="AB109" s="33"/>
      <c r="AC109" s="33"/>
      <c r="AD109" s="33">
        <f>Ruimtestaat[[#This Row],[uren / jaar weekend]]*Tariefsopbouw!$D$40</f>
        <v>0</v>
      </c>
      <c r="AE109" s="86">
        <f>Ruimtestaat[[#This Row],[Prest. (m2 /jaar) weekend]]+Ruimtestaat[[#This Row],[Prest. (m2 /jaar) werkdagen]]</f>
        <v>11256</v>
      </c>
      <c r="AF109" s="86">
        <f>Ruimtestaat[[#This Row],[uren / jaar weekend]]+Ruimtestaat[[#This Row],[uren / jaar werkdagen]]</f>
        <v>0</v>
      </c>
      <c r="AG109" s="87">
        <f>Ruimtestaat[[#This Row],[kosten / jaar weekend]]+Ruimtestaat[[#This Row],[kosten / jaar werkdagen]]</f>
        <v>0</v>
      </c>
    </row>
    <row r="110" spans="1:33" ht="15" customHeight="1">
      <c r="A110" s="246">
        <v>2</v>
      </c>
      <c r="B110" s="21" t="str">
        <f>VLOOKUP(Ruimtestaat[[#This Row],[Code]],Locaties[#All],2,FALSE)</f>
        <v>Losser</v>
      </c>
      <c r="C110" s="247" t="str">
        <f>VLOOKUP(Ruimtestaat[[#This Row],[Code]],Locaties[#All],4,FALSE)</f>
        <v>Oranjestraat 2</v>
      </c>
      <c r="D110" s="247" t="str">
        <f>VLOOKUP(Ruimtestaat[[#This Row],[Code]],Locaties[#All],5,FALSE)</f>
        <v>7607 BJ </v>
      </c>
      <c r="E110" s="187" t="str">
        <f>VLOOKUP(Ruimtestaat[[#This Row],[Code]],Locaties[#All],6,FALSE)</f>
        <v>Losser</v>
      </c>
      <c r="F110" s="248"/>
      <c r="G110" s="246" t="s">
        <v>679</v>
      </c>
      <c r="H110" s="246" t="s">
        <v>413</v>
      </c>
      <c r="I110" s="248" t="s">
        <v>501</v>
      </c>
      <c r="J110" s="187">
        <v>16</v>
      </c>
      <c r="K110" s="187" t="str">
        <f>VLOOKUP(Ruimtestaat[[#This Row],[Ruimte code]],Ruimtegroepen[#All],2,FALSE)</f>
        <v>Leslokalen/computerlokaal</v>
      </c>
      <c r="L110" s="187" t="s">
        <v>109</v>
      </c>
      <c r="M110" s="249" t="s">
        <v>1203</v>
      </c>
      <c r="N110" s="200">
        <v>64.099999999999994</v>
      </c>
      <c r="O110" s="190"/>
      <c r="P110" s="231" t="str">
        <f>VLOOKUP(Ruimtestaat[[#This Row],[Ruimte code]],Ruimtegroepen[#All],4,FALSE)</f>
        <v>L  (Lesruimte)</v>
      </c>
      <c r="Q110" s="201"/>
      <c r="R110" s="202">
        <v>42</v>
      </c>
      <c r="S110" s="202" t="s">
        <v>2</v>
      </c>
      <c r="T110" s="202">
        <f>IF(R110&gt;0,IF(RIGHT(Ruimtestaat[[#This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10" s="202">
        <f>IF(T110&gt;0,VLOOKUP($J110,Ruimtegroepen[],3,FALSE)*VLOOKUP($L110,Vloersoorten[],3,FALSE)*VLOOKUP($S110,Frequenties[],3,FALSE)*VLOOKUP($A110,Locaties[],3,FALSE),0)</f>
        <v>0</v>
      </c>
      <c r="V110" s="202">
        <f>Ruimtestaat[[#This Row],[Uitvoeringen werkdagen]]*Ruimtestaat[[#This Row],[Oppervlak (netto)]]</f>
        <v>13460.999999999998</v>
      </c>
      <c r="W110" s="242">
        <f>IF(U110&gt;0,Ruimtestaat[[#This Row],[Prest. (m2 /jaar) werkdagen]]/Ruimtestaat[[#This Row],[Norm (m2/uur) werkdagen]],0)</f>
        <v>0</v>
      </c>
      <c r="X110" s="243">
        <f>Ruimtestaat[[#This Row],[uren / jaar werkdagen]]*Tariefsopbouw!$D$38</f>
        <v>0</v>
      </c>
      <c r="Y110" s="33"/>
      <c r="Z110" s="33">
        <f>IF(Ruimtestaat[[#This Row],[Frequentie weekend]]&gt;0,VALUE(LEFT(Y110,1))*R110,0)</f>
        <v>0</v>
      </c>
      <c r="AA110" s="33">
        <f>IF($Z110&gt;0,VLOOKUP($J110,Ruimtegroepen[],3,FALSE)*VLOOKUP($L110,Vloersoorten[],3,FALSE)*VLOOKUP($Y110,Frequenties[],3,FALSE)*VLOOKUP(#REF!,Locaties[],3,FALSE),0)</f>
        <v>0</v>
      </c>
      <c r="AB110" s="33"/>
      <c r="AC110" s="33"/>
      <c r="AD110" s="33">
        <f>Ruimtestaat[[#This Row],[uren / jaar weekend]]*Tariefsopbouw!$D$40</f>
        <v>0</v>
      </c>
      <c r="AE110" s="86">
        <f>Ruimtestaat[[#This Row],[Prest. (m2 /jaar) weekend]]+Ruimtestaat[[#This Row],[Prest. (m2 /jaar) werkdagen]]</f>
        <v>13460.999999999998</v>
      </c>
      <c r="AF110" s="86">
        <f>Ruimtestaat[[#This Row],[uren / jaar weekend]]+Ruimtestaat[[#This Row],[uren / jaar werkdagen]]</f>
        <v>0</v>
      </c>
      <c r="AG110" s="87">
        <f>Ruimtestaat[[#This Row],[kosten / jaar weekend]]+Ruimtestaat[[#This Row],[kosten / jaar werkdagen]]</f>
        <v>0</v>
      </c>
    </row>
    <row r="111" spans="1:33" ht="15" customHeight="1">
      <c r="A111" s="246">
        <v>2</v>
      </c>
      <c r="B111" s="21" t="str">
        <f>VLOOKUP(Ruimtestaat[[#This Row],[Code]],Locaties[#All],2,FALSE)</f>
        <v>Losser</v>
      </c>
      <c r="C111" s="247" t="str">
        <f>VLOOKUP(Ruimtestaat[[#This Row],[Code]],Locaties[#All],4,FALSE)</f>
        <v>Oranjestraat 2</v>
      </c>
      <c r="D111" s="247" t="str">
        <f>VLOOKUP(Ruimtestaat[[#This Row],[Code]],Locaties[#All],5,FALSE)</f>
        <v>7607 BJ </v>
      </c>
      <c r="E111" s="187" t="str">
        <f>VLOOKUP(Ruimtestaat[[#This Row],[Code]],Locaties[#All],6,FALSE)</f>
        <v>Losser</v>
      </c>
      <c r="F111" s="248"/>
      <c r="G111" s="246" t="s">
        <v>679</v>
      </c>
      <c r="H111" s="246" t="s">
        <v>415</v>
      </c>
      <c r="I111" s="248" t="s">
        <v>501</v>
      </c>
      <c r="J111" s="187">
        <v>16</v>
      </c>
      <c r="K111" s="187" t="str">
        <f>VLOOKUP(Ruimtestaat[[#This Row],[Ruimte code]],Ruimtegroepen[#All],2,FALSE)</f>
        <v>Leslokalen/computerlokaal</v>
      </c>
      <c r="L111" s="187" t="s">
        <v>109</v>
      </c>
      <c r="M111" s="249" t="s">
        <v>1203</v>
      </c>
      <c r="N111" s="200">
        <v>80.5</v>
      </c>
      <c r="O111" s="190"/>
      <c r="P111" s="231" t="str">
        <f>VLOOKUP(Ruimtestaat[[#This Row],[Ruimte code]],Ruimtegroepen[#All],4,FALSE)</f>
        <v>L  (Lesruimte)</v>
      </c>
      <c r="Q111" s="201"/>
      <c r="R111" s="202">
        <v>42</v>
      </c>
      <c r="S111" s="202" t="s">
        <v>2</v>
      </c>
      <c r="T111" s="202">
        <f>IF(R111&gt;0,IF(RIGHT(Ruimtestaat[[#This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11" s="202">
        <f>IF(T111&gt;0,VLOOKUP($J111,Ruimtegroepen[],3,FALSE)*VLOOKUP($L111,Vloersoorten[],3,FALSE)*VLOOKUP($S111,Frequenties[],3,FALSE)*VLOOKUP($A111,Locaties[],3,FALSE),0)</f>
        <v>0</v>
      </c>
      <c r="V111" s="202">
        <f>Ruimtestaat[[#This Row],[Uitvoeringen werkdagen]]*Ruimtestaat[[#This Row],[Oppervlak (netto)]]</f>
        <v>16905</v>
      </c>
      <c r="W111" s="242">
        <f>IF(U111&gt;0,Ruimtestaat[[#This Row],[Prest. (m2 /jaar) werkdagen]]/Ruimtestaat[[#This Row],[Norm (m2/uur) werkdagen]],0)</f>
        <v>0</v>
      </c>
      <c r="X111" s="243">
        <f>Ruimtestaat[[#This Row],[uren / jaar werkdagen]]*Tariefsopbouw!$D$38</f>
        <v>0</v>
      </c>
      <c r="Y111" s="33"/>
      <c r="Z111" s="33">
        <f>IF(Ruimtestaat[[#This Row],[Frequentie weekend]]&gt;0,VALUE(LEFT(Y111,1))*R111,0)</f>
        <v>0</v>
      </c>
      <c r="AA111" s="33">
        <f>IF($Z111&gt;0,VLOOKUP($J111,Ruimtegroepen[],3,FALSE)*VLOOKUP($L111,Vloersoorten[],3,FALSE)*VLOOKUP($Y111,Frequenties[],3,FALSE)*VLOOKUP(#REF!,Locaties[],3,FALSE),0)</f>
        <v>0</v>
      </c>
      <c r="AB111" s="33"/>
      <c r="AC111" s="33"/>
      <c r="AD111" s="33">
        <f>Ruimtestaat[[#This Row],[uren / jaar weekend]]*Tariefsopbouw!$D$40</f>
        <v>0</v>
      </c>
      <c r="AE111" s="86">
        <f>Ruimtestaat[[#This Row],[Prest. (m2 /jaar) weekend]]+Ruimtestaat[[#This Row],[Prest. (m2 /jaar) werkdagen]]</f>
        <v>16905</v>
      </c>
      <c r="AF111" s="86">
        <f>Ruimtestaat[[#This Row],[uren / jaar weekend]]+Ruimtestaat[[#This Row],[uren / jaar werkdagen]]</f>
        <v>0</v>
      </c>
      <c r="AG111" s="87">
        <f>Ruimtestaat[[#This Row],[kosten / jaar weekend]]+Ruimtestaat[[#This Row],[kosten / jaar werkdagen]]</f>
        <v>0</v>
      </c>
    </row>
    <row r="112" spans="1:33" ht="15" customHeight="1">
      <c r="A112" s="246">
        <v>2</v>
      </c>
      <c r="B112" s="21" t="str">
        <f>VLOOKUP(Ruimtestaat[[#This Row],[Code]],Locaties[#All],2,FALSE)</f>
        <v>Losser</v>
      </c>
      <c r="C112" s="247" t="str">
        <f>VLOOKUP(Ruimtestaat[[#This Row],[Code]],Locaties[#All],4,FALSE)</f>
        <v>Oranjestraat 2</v>
      </c>
      <c r="D112" s="247" t="str">
        <f>VLOOKUP(Ruimtestaat[[#This Row],[Code]],Locaties[#All],5,FALSE)</f>
        <v>7607 BJ </v>
      </c>
      <c r="E112" s="187" t="str">
        <f>VLOOKUP(Ruimtestaat[[#This Row],[Code]],Locaties[#All],6,FALSE)</f>
        <v>Losser</v>
      </c>
      <c r="F112" s="248"/>
      <c r="G112" s="246" t="s">
        <v>679</v>
      </c>
      <c r="H112" s="246" t="s">
        <v>416</v>
      </c>
      <c r="I112" s="248" t="s">
        <v>501</v>
      </c>
      <c r="J112" s="187">
        <v>16</v>
      </c>
      <c r="K112" s="187" t="str">
        <f>VLOOKUP(Ruimtestaat[[#This Row],[Ruimte code]],Ruimtegroepen[#All],2,FALSE)</f>
        <v>Leslokalen/computerlokaal</v>
      </c>
      <c r="L112" s="187" t="s">
        <v>109</v>
      </c>
      <c r="M112" s="249" t="s">
        <v>1203</v>
      </c>
      <c r="N112" s="200">
        <v>53.5</v>
      </c>
      <c r="O112" s="190"/>
      <c r="P112" s="231" t="str">
        <f>VLOOKUP(Ruimtestaat[[#This Row],[Ruimte code]],Ruimtegroepen[#All],4,FALSE)</f>
        <v>L  (Lesruimte)</v>
      </c>
      <c r="Q112" s="201"/>
      <c r="R112" s="202">
        <v>42</v>
      </c>
      <c r="S112" s="202" t="s">
        <v>2</v>
      </c>
      <c r="T112" s="202">
        <f>IF(R112&gt;0,IF(RIGHT(Ruimtestaat[[#This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12" s="202">
        <f>IF(T112&gt;0,VLOOKUP($J112,Ruimtegroepen[],3,FALSE)*VLOOKUP($L112,Vloersoorten[],3,FALSE)*VLOOKUP($S112,Frequenties[],3,FALSE)*VLOOKUP($A112,Locaties[],3,FALSE),0)</f>
        <v>0</v>
      </c>
      <c r="V112" s="202">
        <f>Ruimtestaat[[#This Row],[Uitvoeringen werkdagen]]*Ruimtestaat[[#This Row],[Oppervlak (netto)]]</f>
        <v>11235</v>
      </c>
      <c r="W112" s="242">
        <f>IF(U112&gt;0,Ruimtestaat[[#This Row],[Prest. (m2 /jaar) werkdagen]]/Ruimtestaat[[#This Row],[Norm (m2/uur) werkdagen]],0)</f>
        <v>0</v>
      </c>
      <c r="X112" s="243">
        <f>Ruimtestaat[[#This Row],[uren / jaar werkdagen]]*Tariefsopbouw!$D$38</f>
        <v>0</v>
      </c>
      <c r="Y112" s="33"/>
      <c r="Z112" s="33">
        <f>IF(Ruimtestaat[[#This Row],[Frequentie weekend]]&gt;0,VALUE(LEFT(Y112,1))*R112,0)</f>
        <v>0</v>
      </c>
      <c r="AA112" s="33">
        <f>IF($Z112&gt;0,VLOOKUP($J112,Ruimtegroepen[],3,FALSE)*VLOOKUP($L112,Vloersoorten[],3,FALSE)*VLOOKUP($Y112,Frequenties[],3,FALSE)*VLOOKUP(#REF!,Locaties[],3,FALSE),0)</f>
        <v>0</v>
      </c>
      <c r="AB112" s="33"/>
      <c r="AC112" s="33"/>
      <c r="AD112" s="33">
        <f>Ruimtestaat[[#This Row],[uren / jaar weekend]]*Tariefsopbouw!$D$40</f>
        <v>0</v>
      </c>
      <c r="AE112" s="86">
        <f>Ruimtestaat[[#This Row],[Prest. (m2 /jaar) weekend]]+Ruimtestaat[[#This Row],[Prest. (m2 /jaar) werkdagen]]</f>
        <v>11235</v>
      </c>
      <c r="AF112" s="86">
        <f>Ruimtestaat[[#This Row],[uren / jaar weekend]]+Ruimtestaat[[#This Row],[uren / jaar werkdagen]]</f>
        <v>0</v>
      </c>
      <c r="AG112" s="87">
        <f>Ruimtestaat[[#This Row],[kosten / jaar weekend]]+Ruimtestaat[[#This Row],[kosten / jaar werkdagen]]</f>
        <v>0</v>
      </c>
    </row>
    <row r="113" spans="1:33" ht="15" customHeight="1">
      <c r="A113" s="246">
        <v>2</v>
      </c>
      <c r="B113" s="21" t="str">
        <f>VLOOKUP(Ruimtestaat[[#This Row],[Code]],Locaties[#All],2,FALSE)</f>
        <v>Losser</v>
      </c>
      <c r="C113" s="247" t="str">
        <f>VLOOKUP(Ruimtestaat[[#This Row],[Code]],Locaties[#All],4,FALSE)</f>
        <v>Oranjestraat 2</v>
      </c>
      <c r="D113" s="247" t="str">
        <f>VLOOKUP(Ruimtestaat[[#This Row],[Code]],Locaties[#All],5,FALSE)</f>
        <v>7607 BJ </v>
      </c>
      <c r="E113" s="187" t="str">
        <f>VLOOKUP(Ruimtestaat[[#This Row],[Code]],Locaties[#All],6,FALSE)</f>
        <v>Losser</v>
      </c>
      <c r="F113" s="248"/>
      <c r="G113" s="246" t="s">
        <v>679</v>
      </c>
      <c r="H113" s="246" t="s">
        <v>418</v>
      </c>
      <c r="I113" s="248" t="s">
        <v>501</v>
      </c>
      <c r="J113" s="187">
        <v>16</v>
      </c>
      <c r="K113" s="187" t="str">
        <f>VLOOKUP(Ruimtestaat[[#This Row],[Ruimte code]],Ruimtegroepen[#All],2,FALSE)</f>
        <v>Leslokalen/computerlokaal</v>
      </c>
      <c r="L113" s="187" t="s">
        <v>109</v>
      </c>
      <c r="M113" s="249" t="s">
        <v>1203</v>
      </c>
      <c r="N113" s="200">
        <v>50.3</v>
      </c>
      <c r="O113" s="190"/>
      <c r="P113" s="231" t="str">
        <f>VLOOKUP(Ruimtestaat[[#This Row],[Ruimte code]],Ruimtegroepen[#All],4,FALSE)</f>
        <v>L  (Lesruimte)</v>
      </c>
      <c r="Q113" s="201"/>
      <c r="R113" s="202">
        <v>42</v>
      </c>
      <c r="S113" s="202" t="s">
        <v>2</v>
      </c>
      <c r="T113" s="202">
        <f>IF(R113&gt;0,IF(RIGHT(Ruimtestaat[[#This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13" s="202">
        <f>IF(T113&gt;0,VLOOKUP($J113,Ruimtegroepen[],3,FALSE)*VLOOKUP($L113,Vloersoorten[],3,FALSE)*VLOOKUP($S113,Frequenties[],3,FALSE)*VLOOKUP($A113,Locaties[],3,FALSE),0)</f>
        <v>0</v>
      </c>
      <c r="V113" s="202">
        <f>Ruimtestaat[[#This Row],[Uitvoeringen werkdagen]]*Ruimtestaat[[#This Row],[Oppervlak (netto)]]</f>
        <v>10563</v>
      </c>
      <c r="W113" s="242">
        <f>IF(U113&gt;0,Ruimtestaat[[#This Row],[Prest. (m2 /jaar) werkdagen]]/Ruimtestaat[[#This Row],[Norm (m2/uur) werkdagen]],0)</f>
        <v>0</v>
      </c>
      <c r="X113" s="243">
        <f>Ruimtestaat[[#This Row],[uren / jaar werkdagen]]*Tariefsopbouw!$D$38</f>
        <v>0</v>
      </c>
      <c r="Y113" s="33"/>
      <c r="Z113" s="33">
        <f>IF(Ruimtestaat[[#This Row],[Frequentie weekend]]&gt;0,VALUE(LEFT(Y113,1))*R113,0)</f>
        <v>0</v>
      </c>
      <c r="AA113" s="33">
        <f>IF($Z113&gt;0,VLOOKUP($J113,Ruimtegroepen[],3,FALSE)*VLOOKUP($L113,Vloersoorten[],3,FALSE)*VLOOKUP($Y113,Frequenties[],3,FALSE)*VLOOKUP(#REF!,Locaties[],3,FALSE),0)</f>
        <v>0</v>
      </c>
      <c r="AB113" s="33"/>
      <c r="AC113" s="33"/>
      <c r="AD113" s="33">
        <f>Ruimtestaat[[#This Row],[uren / jaar weekend]]*Tariefsopbouw!$D$40</f>
        <v>0</v>
      </c>
      <c r="AE113" s="86">
        <f>Ruimtestaat[[#This Row],[Prest. (m2 /jaar) weekend]]+Ruimtestaat[[#This Row],[Prest. (m2 /jaar) werkdagen]]</f>
        <v>10563</v>
      </c>
      <c r="AF113" s="86">
        <f>Ruimtestaat[[#This Row],[uren / jaar weekend]]+Ruimtestaat[[#This Row],[uren / jaar werkdagen]]</f>
        <v>0</v>
      </c>
      <c r="AG113" s="87">
        <f>Ruimtestaat[[#This Row],[kosten / jaar weekend]]+Ruimtestaat[[#This Row],[kosten / jaar werkdagen]]</f>
        <v>0</v>
      </c>
    </row>
    <row r="114" spans="1:33" ht="15" customHeight="1">
      <c r="A114" s="246">
        <v>2</v>
      </c>
      <c r="B114" s="21" t="str">
        <f>VLOOKUP(Ruimtestaat[[#This Row],[Code]],Locaties[#All],2,FALSE)</f>
        <v>Losser</v>
      </c>
      <c r="C114" s="247" t="str">
        <f>VLOOKUP(Ruimtestaat[[#This Row],[Code]],Locaties[#All],4,FALSE)</f>
        <v>Oranjestraat 2</v>
      </c>
      <c r="D114" s="247" t="str">
        <f>VLOOKUP(Ruimtestaat[[#This Row],[Code]],Locaties[#All],5,FALSE)</f>
        <v>7607 BJ </v>
      </c>
      <c r="E114" s="187" t="str">
        <f>VLOOKUP(Ruimtestaat[[#This Row],[Code]],Locaties[#All],6,FALSE)</f>
        <v>Losser</v>
      </c>
      <c r="F114" s="248"/>
      <c r="G114" s="246" t="s">
        <v>679</v>
      </c>
      <c r="H114" s="246" t="s">
        <v>419</v>
      </c>
      <c r="I114" s="248" t="s">
        <v>501</v>
      </c>
      <c r="J114" s="187">
        <v>16</v>
      </c>
      <c r="K114" s="187" t="str">
        <f>VLOOKUP(Ruimtestaat[[#This Row],[Ruimte code]],Ruimtegroepen[#All],2,FALSE)</f>
        <v>Leslokalen/computerlokaal</v>
      </c>
      <c r="L114" s="187" t="s">
        <v>109</v>
      </c>
      <c r="M114" s="249" t="s">
        <v>1203</v>
      </c>
      <c r="N114" s="200">
        <v>50.3</v>
      </c>
      <c r="O114" s="190"/>
      <c r="P114" s="231" t="str">
        <f>VLOOKUP(Ruimtestaat[[#This Row],[Ruimte code]],Ruimtegroepen[#All],4,FALSE)</f>
        <v>L  (Lesruimte)</v>
      </c>
      <c r="Q114" s="201"/>
      <c r="R114" s="202">
        <v>42</v>
      </c>
      <c r="S114" s="202" t="s">
        <v>2</v>
      </c>
      <c r="T114" s="202">
        <f>IF(R114&gt;0,IF(RIGHT(Ruimtestaat[[#This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14" s="202">
        <f>IF(T114&gt;0,VLOOKUP($J114,Ruimtegroepen[],3,FALSE)*VLOOKUP($L114,Vloersoorten[],3,FALSE)*VLOOKUP($S114,Frequenties[],3,FALSE)*VLOOKUP($A114,Locaties[],3,FALSE),0)</f>
        <v>0</v>
      </c>
      <c r="V114" s="202">
        <f>Ruimtestaat[[#This Row],[Uitvoeringen werkdagen]]*Ruimtestaat[[#This Row],[Oppervlak (netto)]]</f>
        <v>10563</v>
      </c>
      <c r="W114" s="242">
        <f>IF(U114&gt;0,Ruimtestaat[[#This Row],[Prest. (m2 /jaar) werkdagen]]/Ruimtestaat[[#This Row],[Norm (m2/uur) werkdagen]],0)</f>
        <v>0</v>
      </c>
      <c r="X114" s="243">
        <f>Ruimtestaat[[#This Row],[uren / jaar werkdagen]]*Tariefsopbouw!$D$38</f>
        <v>0</v>
      </c>
      <c r="Y114" s="33"/>
      <c r="Z114" s="33">
        <f>IF(Ruimtestaat[[#This Row],[Frequentie weekend]]&gt;0,VALUE(LEFT(Y114,1))*R114,0)</f>
        <v>0</v>
      </c>
      <c r="AA114" s="33">
        <f>IF($Z114&gt;0,VLOOKUP($J114,Ruimtegroepen[],3,FALSE)*VLOOKUP($L114,Vloersoorten[],3,FALSE)*VLOOKUP($Y114,Frequenties[],3,FALSE)*VLOOKUP(#REF!,Locaties[],3,FALSE),0)</f>
        <v>0</v>
      </c>
      <c r="AB114" s="33"/>
      <c r="AC114" s="33"/>
      <c r="AD114" s="33">
        <f>Ruimtestaat[[#This Row],[uren / jaar weekend]]*Tariefsopbouw!$D$40</f>
        <v>0</v>
      </c>
      <c r="AE114" s="86">
        <f>Ruimtestaat[[#This Row],[Prest. (m2 /jaar) weekend]]+Ruimtestaat[[#This Row],[Prest. (m2 /jaar) werkdagen]]</f>
        <v>10563</v>
      </c>
      <c r="AF114" s="86">
        <f>Ruimtestaat[[#This Row],[uren / jaar weekend]]+Ruimtestaat[[#This Row],[uren / jaar werkdagen]]</f>
        <v>0</v>
      </c>
      <c r="AG114" s="87">
        <f>Ruimtestaat[[#This Row],[kosten / jaar weekend]]+Ruimtestaat[[#This Row],[kosten / jaar werkdagen]]</f>
        <v>0</v>
      </c>
    </row>
    <row r="115" spans="1:33" ht="15" customHeight="1">
      <c r="A115" s="246">
        <v>2</v>
      </c>
      <c r="B115" s="21" t="str">
        <f>VLOOKUP(Ruimtestaat[[#This Row],[Code]],Locaties[#All],2,FALSE)</f>
        <v>Losser</v>
      </c>
      <c r="C115" s="247" t="str">
        <f>VLOOKUP(Ruimtestaat[[#This Row],[Code]],Locaties[#All],4,FALSE)</f>
        <v>Oranjestraat 2</v>
      </c>
      <c r="D115" s="247" t="str">
        <f>VLOOKUP(Ruimtestaat[[#This Row],[Code]],Locaties[#All],5,FALSE)</f>
        <v>7607 BJ </v>
      </c>
      <c r="E115" s="187" t="str">
        <f>VLOOKUP(Ruimtestaat[[#This Row],[Code]],Locaties[#All],6,FALSE)</f>
        <v>Losser</v>
      </c>
      <c r="F115" s="248"/>
      <c r="G115" s="246" t="s">
        <v>679</v>
      </c>
      <c r="H115" s="246" t="s">
        <v>421</v>
      </c>
      <c r="I115" s="248" t="s">
        <v>501</v>
      </c>
      <c r="J115" s="187">
        <v>16</v>
      </c>
      <c r="K115" s="187" t="str">
        <f>VLOOKUP(Ruimtestaat[[#This Row],[Ruimte code]],Ruimtegroepen[#All],2,FALSE)</f>
        <v>Leslokalen/computerlokaal</v>
      </c>
      <c r="L115" s="187" t="s">
        <v>109</v>
      </c>
      <c r="M115" s="249" t="s">
        <v>1203</v>
      </c>
      <c r="N115" s="200">
        <v>53.5</v>
      </c>
      <c r="O115" s="190"/>
      <c r="P115" s="231" t="str">
        <f>VLOOKUP(Ruimtestaat[[#This Row],[Ruimte code]],Ruimtegroepen[#All],4,FALSE)</f>
        <v>L  (Lesruimte)</v>
      </c>
      <c r="Q115" s="201"/>
      <c r="R115" s="202">
        <v>42</v>
      </c>
      <c r="S115" s="202" t="s">
        <v>2</v>
      </c>
      <c r="T115" s="202">
        <f>IF(R115&gt;0,IF(RIGHT(Ruimtestaat[[#This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15" s="202">
        <f>IF(T115&gt;0,VLOOKUP($J115,Ruimtegroepen[],3,FALSE)*VLOOKUP($L115,Vloersoorten[],3,FALSE)*VLOOKUP($S115,Frequenties[],3,FALSE)*VLOOKUP($A115,Locaties[],3,FALSE),0)</f>
        <v>0</v>
      </c>
      <c r="V115" s="202">
        <f>Ruimtestaat[[#This Row],[Uitvoeringen werkdagen]]*Ruimtestaat[[#This Row],[Oppervlak (netto)]]</f>
        <v>11235</v>
      </c>
      <c r="W115" s="242">
        <f>IF(U115&gt;0,Ruimtestaat[[#This Row],[Prest. (m2 /jaar) werkdagen]]/Ruimtestaat[[#This Row],[Norm (m2/uur) werkdagen]],0)</f>
        <v>0</v>
      </c>
      <c r="X115" s="243">
        <f>Ruimtestaat[[#This Row],[uren / jaar werkdagen]]*Tariefsopbouw!$D$38</f>
        <v>0</v>
      </c>
      <c r="Y115" s="33"/>
      <c r="Z115" s="33">
        <f>IF(Ruimtestaat[[#This Row],[Frequentie weekend]]&gt;0,VALUE(LEFT(Y115,1))*R115,0)</f>
        <v>0</v>
      </c>
      <c r="AA115" s="33">
        <f>IF($Z115&gt;0,VLOOKUP($J115,Ruimtegroepen[],3,FALSE)*VLOOKUP($L115,Vloersoorten[],3,FALSE)*VLOOKUP($Y115,Frequenties[],3,FALSE)*VLOOKUP(#REF!,Locaties[],3,FALSE),0)</f>
        <v>0</v>
      </c>
      <c r="AB115" s="33"/>
      <c r="AC115" s="33"/>
      <c r="AD115" s="33">
        <f>Ruimtestaat[[#This Row],[uren / jaar weekend]]*Tariefsopbouw!$D$40</f>
        <v>0</v>
      </c>
      <c r="AE115" s="86">
        <f>Ruimtestaat[[#This Row],[Prest. (m2 /jaar) weekend]]+Ruimtestaat[[#This Row],[Prest. (m2 /jaar) werkdagen]]</f>
        <v>11235</v>
      </c>
      <c r="AF115" s="86">
        <f>Ruimtestaat[[#This Row],[uren / jaar weekend]]+Ruimtestaat[[#This Row],[uren / jaar werkdagen]]</f>
        <v>0</v>
      </c>
      <c r="AG115" s="87">
        <f>Ruimtestaat[[#This Row],[kosten / jaar weekend]]+Ruimtestaat[[#This Row],[kosten / jaar werkdagen]]</f>
        <v>0</v>
      </c>
    </row>
    <row r="116" spans="1:33" ht="15" customHeight="1">
      <c r="A116" s="246">
        <v>2</v>
      </c>
      <c r="B116" s="21" t="str">
        <f>VLOOKUP(Ruimtestaat[[#This Row],[Code]],Locaties[#All],2,FALSE)</f>
        <v>Losser</v>
      </c>
      <c r="C116" s="247" t="str">
        <f>VLOOKUP(Ruimtestaat[[#This Row],[Code]],Locaties[#All],4,FALSE)</f>
        <v>Oranjestraat 2</v>
      </c>
      <c r="D116" s="247" t="str">
        <f>VLOOKUP(Ruimtestaat[[#This Row],[Code]],Locaties[#All],5,FALSE)</f>
        <v>7607 BJ </v>
      </c>
      <c r="E116" s="187" t="str">
        <f>VLOOKUP(Ruimtestaat[[#This Row],[Code]],Locaties[#All],6,FALSE)</f>
        <v>Losser</v>
      </c>
      <c r="F116" s="248"/>
      <c r="G116" s="246" t="s">
        <v>679</v>
      </c>
      <c r="H116" s="246" t="s">
        <v>423</v>
      </c>
      <c r="I116" s="248" t="s">
        <v>501</v>
      </c>
      <c r="J116" s="187">
        <v>16</v>
      </c>
      <c r="K116" s="187" t="str">
        <f>VLOOKUP(Ruimtestaat[[#This Row],[Ruimte code]],Ruimtegroepen[#All],2,FALSE)</f>
        <v>Leslokalen/computerlokaal</v>
      </c>
      <c r="L116" s="187" t="s">
        <v>109</v>
      </c>
      <c r="M116" s="249" t="s">
        <v>1203</v>
      </c>
      <c r="N116" s="200">
        <v>52.2</v>
      </c>
      <c r="O116" s="190"/>
      <c r="P116" s="231" t="str">
        <f>VLOOKUP(Ruimtestaat[[#This Row],[Ruimte code]],Ruimtegroepen[#All],4,FALSE)</f>
        <v>L  (Lesruimte)</v>
      </c>
      <c r="Q116" s="201"/>
      <c r="R116" s="202">
        <v>42</v>
      </c>
      <c r="S116" s="202" t="s">
        <v>2</v>
      </c>
      <c r="T116" s="202">
        <f>IF(R116&gt;0,IF(RIGHT(Ruimtestaat[[#This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16" s="202">
        <f>IF(T116&gt;0,VLOOKUP($J116,Ruimtegroepen[],3,FALSE)*VLOOKUP($L116,Vloersoorten[],3,FALSE)*VLOOKUP($S116,Frequenties[],3,FALSE)*VLOOKUP($A116,Locaties[],3,FALSE),0)</f>
        <v>0</v>
      </c>
      <c r="V116" s="202">
        <f>Ruimtestaat[[#This Row],[Uitvoeringen werkdagen]]*Ruimtestaat[[#This Row],[Oppervlak (netto)]]</f>
        <v>10962</v>
      </c>
      <c r="W116" s="242">
        <f>IF(U116&gt;0,Ruimtestaat[[#This Row],[Prest. (m2 /jaar) werkdagen]]/Ruimtestaat[[#This Row],[Norm (m2/uur) werkdagen]],0)</f>
        <v>0</v>
      </c>
      <c r="X116" s="243">
        <f>Ruimtestaat[[#This Row],[uren / jaar werkdagen]]*Tariefsopbouw!$D$38</f>
        <v>0</v>
      </c>
      <c r="Y116" s="33"/>
      <c r="Z116" s="33">
        <f>IF(Ruimtestaat[[#This Row],[Frequentie weekend]]&gt;0,VALUE(LEFT(Y116,1))*R116,0)</f>
        <v>0</v>
      </c>
      <c r="AA116" s="33">
        <f>IF($Z116&gt;0,VLOOKUP($J116,Ruimtegroepen[],3,FALSE)*VLOOKUP($L116,Vloersoorten[],3,FALSE)*VLOOKUP($Y116,Frequenties[],3,FALSE)*VLOOKUP(#REF!,Locaties[],3,FALSE),0)</f>
        <v>0</v>
      </c>
      <c r="AB116" s="33"/>
      <c r="AC116" s="33"/>
      <c r="AD116" s="33">
        <f>Ruimtestaat[[#This Row],[uren / jaar weekend]]*Tariefsopbouw!$D$40</f>
        <v>0</v>
      </c>
      <c r="AE116" s="86">
        <f>Ruimtestaat[[#This Row],[Prest. (m2 /jaar) weekend]]+Ruimtestaat[[#This Row],[Prest. (m2 /jaar) werkdagen]]</f>
        <v>10962</v>
      </c>
      <c r="AF116" s="86">
        <f>Ruimtestaat[[#This Row],[uren / jaar weekend]]+Ruimtestaat[[#This Row],[uren / jaar werkdagen]]</f>
        <v>0</v>
      </c>
      <c r="AG116" s="87">
        <f>Ruimtestaat[[#This Row],[kosten / jaar weekend]]+Ruimtestaat[[#This Row],[kosten / jaar werkdagen]]</f>
        <v>0</v>
      </c>
    </row>
    <row r="117" spans="1:33" ht="15" customHeight="1">
      <c r="A117" s="246">
        <v>2</v>
      </c>
      <c r="B117" s="21" t="str">
        <f>VLOOKUP(Ruimtestaat[[#This Row],[Code]],Locaties[#All],2,FALSE)</f>
        <v>Losser</v>
      </c>
      <c r="C117" s="247" t="str">
        <f>VLOOKUP(Ruimtestaat[[#This Row],[Code]],Locaties[#All],4,FALSE)</f>
        <v>Oranjestraat 2</v>
      </c>
      <c r="D117" s="247" t="str">
        <f>VLOOKUP(Ruimtestaat[[#This Row],[Code]],Locaties[#All],5,FALSE)</f>
        <v>7607 BJ </v>
      </c>
      <c r="E117" s="187" t="str">
        <f>VLOOKUP(Ruimtestaat[[#This Row],[Code]],Locaties[#All],6,FALSE)</f>
        <v>Losser</v>
      </c>
      <c r="F117" s="248"/>
      <c r="G117" s="246" t="s">
        <v>679</v>
      </c>
      <c r="H117" s="246" t="s">
        <v>425</v>
      </c>
      <c r="I117" s="248" t="s">
        <v>501</v>
      </c>
      <c r="J117" s="187">
        <v>16</v>
      </c>
      <c r="K117" s="187" t="str">
        <f>VLOOKUP(Ruimtestaat[[#This Row],[Ruimte code]],Ruimtegroepen[#All],2,FALSE)</f>
        <v>Leslokalen/computerlokaal</v>
      </c>
      <c r="L117" s="187" t="s">
        <v>109</v>
      </c>
      <c r="M117" s="249" t="s">
        <v>1203</v>
      </c>
      <c r="N117" s="200">
        <v>81.5</v>
      </c>
      <c r="O117" s="190"/>
      <c r="P117" s="231" t="str">
        <f>VLOOKUP(Ruimtestaat[[#This Row],[Ruimte code]],Ruimtegroepen[#All],4,FALSE)</f>
        <v>L  (Lesruimte)</v>
      </c>
      <c r="Q117" s="201"/>
      <c r="R117" s="202">
        <v>42</v>
      </c>
      <c r="S117" s="202" t="s">
        <v>2</v>
      </c>
      <c r="T117" s="202">
        <f>IF(R117&gt;0,IF(RIGHT(Ruimtestaat[[#This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17" s="202">
        <f>IF(T117&gt;0,VLOOKUP($J117,Ruimtegroepen[],3,FALSE)*VLOOKUP($L117,Vloersoorten[],3,FALSE)*VLOOKUP($S117,Frequenties[],3,FALSE)*VLOOKUP($A117,Locaties[],3,FALSE),0)</f>
        <v>0</v>
      </c>
      <c r="V117" s="202">
        <f>Ruimtestaat[[#This Row],[Uitvoeringen werkdagen]]*Ruimtestaat[[#This Row],[Oppervlak (netto)]]</f>
        <v>17115</v>
      </c>
      <c r="W117" s="242">
        <f>IF(U117&gt;0,Ruimtestaat[[#This Row],[Prest. (m2 /jaar) werkdagen]]/Ruimtestaat[[#This Row],[Norm (m2/uur) werkdagen]],0)</f>
        <v>0</v>
      </c>
      <c r="X117" s="243">
        <f>Ruimtestaat[[#This Row],[uren / jaar werkdagen]]*Tariefsopbouw!$D$38</f>
        <v>0</v>
      </c>
      <c r="Y117" s="33"/>
      <c r="Z117" s="33">
        <f>IF(Ruimtestaat[[#This Row],[Frequentie weekend]]&gt;0,VALUE(LEFT(Y117,1))*R117,0)</f>
        <v>0</v>
      </c>
      <c r="AA117" s="33">
        <f>IF($Z117&gt;0,VLOOKUP($J117,Ruimtegroepen[],3,FALSE)*VLOOKUP($L117,Vloersoorten[],3,FALSE)*VLOOKUP($Y117,Frequenties[],3,FALSE)*VLOOKUP(#REF!,Locaties[],3,FALSE),0)</f>
        <v>0</v>
      </c>
      <c r="AB117" s="33"/>
      <c r="AC117" s="33"/>
      <c r="AD117" s="33">
        <f>Ruimtestaat[[#This Row],[uren / jaar weekend]]*Tariefsopbouw!$D$40</f>
        <v>0</v>
      </c>
      <c r="AE117" s="86">
        <f>Ruimtestaat[[#This Row],[Prest. (m2 /jaar) weekend]]+Ruimtestaat[[#This Row],[Prest. (m2 /jaar) werkdagen]]</f>
        <v>17115</v>
      </c>
      <c r="AF117" s="86">
        <f>Ruimtestaat[[#This Row],[uren / jaar weekend]]+Ruimtestaat[[#This Row],[uren / jaar werkdagen]]</f>
        <v>0</v>
      </c>
      <c r="AG117" s="87">
        <f>Ruimtestaat[[#This Row],[kosten / jaar weekend]]+Ruimtestaat[[#This Row],[kosten / jaar werkdagen]]</f>
        <v>0</v>
      </c>
    </row>
    <row r="118" spans="1:33" ht="15" customHeight="1">
      <c r="A118" s="246">
        <v>2</v>
      </c>
      <c r="B118" s="21" t="str">
        <f>VLOOKUP(Ruimtestaat[[#This Row],[Code]],Locaties[#All],2,FALSE)</f>
        <v>Losser</v>
      </c>
      <c r="C118" s="247" t="str">
        <f>VLOOKUP(Ruimtestaat[[#This Row],[Code]],Locaties[#All],4,FALSE)</f>
        <v>Oranjestraat 2</v>
      </c>
      <c r="D118" s="247" t="str">
        <f>VLOOKUP(Ruimtestaat[[#This Row],[Code]],Locaties[#All],5,FALSE)</f>
        <v>7607 BJ </v>
      </c>
      <c r="E118" s="187" t="str">
        <f>VLOOKUP(Ruimtestaat[[#This Row],[Code]],Locaties[#All],6,FALSE)</f>
        <v>Losser</v>
      </c>
      <c r="F118" s="248"/>
      <c r="G118" s="246" t="s">
        <v>679</v>
      </c>
      <c r="H118" s="246" t="s">
        <v>426</v>
      </c>
      <c r="I118" s="248" t="s">
        <v>1157</v>
      </c>
      <c r="J118" s="247">
        <v>16</v>
      </c>
      <c r="K118" s="247" t="str">
        <f>VLOOKUP(Ruimtestaat[[#This Row],[Ruimte code]],Ruimtegroepen[#All],2,FALSE)</f>
        <v>Leslokalen/computerlokaal</v>
      </c>
      <c r="L118" s="187" t="s">
        <v>109</v>
      </c>
      <c r="M118" s="249" t="s">
        <v>1203</v>
      </c>
      <c r="N118" s="200">
        <v>95.4</v>
      </c>
      <c r="O118" s="190"/>
      <c r="P118" s="231" t="str">
        <f>VLOOKUP(Ruimtestaat[[#This Row],[Ruimte code]],Ruimtegroepen[#All],4,FALSE)</f>
        <v>L  (Lesruimte)</v>
      </c>
      <c r="Q118" s="201"/>
      <c r="R118" s="202">
        <v>42</v>
      </c>
      <c r="S118" s="202" t="s">
        <v>2</v>
      </c>
      <c r="T118" s="202">
        <f>IF(R118&gt;0,IF(RIGHT(Ruimtestaat[[#This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18" s="202">
        <f>IF(T118&gt;0,VLOOKUP($J118,Ruimtegroepen[],3,FALSE)*VLOOKUP($L118,Vloersoorten[],3,FALSE)*VLOOKUP($S118,Frequenties[],3,FALSE)*VLOOKUP($A118,Locaties[],3,FALSE),0)</f>
        <v>0</v>
      </c>
      <c r="V118" s="202">
        <f>Ruimtestaat[[#This Row],[Uitvoeringen werkdagen]]*Ruimtestaat[[#This Row],[Oppervlak (netto)]]</f>
        <v>20034</v>
      </c>
      <c r="W118" s="242">
        <f>IF(U118&gt;0,Ruimtestaat[[#This Row],[Prest. (m2 /jaar) werkdagen]]/Ruimtestaat[[#This Row],[Norm (m2/uur) werkdagen]],0)</f>
        <v>0</v>
      </c>
      <c r="X118" s="243">
        <f>Ruimtestaat[[#This Row],[uren / jaar werkdagen]]*Tariefsopbouw!$D$38</f>
        <v>0</v>
      </c>
      <c r="Y118" s="33"/>
      <c r="Z118" s="33">
        <f>IF(Ruimtestaat[[#This Row],[Frequentie weekend]]&gt;0,VALUE(LEFT(Y118,1))*R118,0)</f>
        <v>0</v>
      </c>
      <c r="AA118" s="33">
        <f>IF($Z118&gt;0,VLOOKUP($J118,Ruimtegroepen[],3,FALSE)*VLOOKUP($L118,Vloersoorten[],3,FALSE)*VLOOKUP($Y118,Frequenties[],3,FALSE)*VLOOKUP(#REF!,Locaties[],3,FALSE),0)</f>
        <v>0</v>
      </c>
      <c r="AB118" s="33"/>
      <c r="AC118" s="33"/>
      <c r="AD118" s="33">
        <f>Ruimtestaat[[#This Row],[uren / jaar weekend]]*Tariefsopbouw!$D$40</f>
        <v>0</v>
      </c>
      <c r="AE118" s="86">
        <f>Ruimtestaat[[#This Row],[Prest. (m2 /jaar) weekend]]+Ruimtestaat[[#This Row],[Prest. (m2 /jaar) werkdagen]]</f>
        <v>20034</v>
      </c>
      <c r="AF118" s="86">
        <f>Ruimtestaat[[#This Row],[uren / jaar weekend]]+Ruimtestaat[[#This Row],[uren / jaar werkdagen]]</f>
        <v>0</v>
      </c>
      <c r="AG118" s="87">
        <f>Ruimtestaat[[#This Row],[kosten / jaar weekend]]+Ruimtestaat[[#This Row],[kosten / jaar werkdagen]]</f>
        <v>0</v>
      </c>
    </row>
    <row r="119" spans="1:33" ht="15" customHeight="1">
      <c r="A119" s="246">
        <v>2</v>
      </c>
      <c r="B119" s="21" t="str">
        <f>VLOOKUP(Ruimtestaat[[#This Row],[Code]],Locaties[#All],2,FALSE)</f>
        <v>Losser</v>
      </c>
      <c r="C119" s="247" t="str">
        <f>VLOOKUP(Ruimtestaat[[#This Row],[Code]],Locaties[#All],4,FALSE)</f>
        <v>Oranjestraat 2</v>
      </c>
      <c r="D119" s="247" t="str">
        <f>VLOOKUP(Ruimtestaat[[#This Row],[Code]],Locaties[#All],5,FALSE)</f>
        <v>7607 BJ </v>
      </c>
      <c r="E119" s="187" t="str">
        <f>VLOOKUP(Ruimtestaat[[#This Row],[Code]],Locaties[#All],6,FALSE)</f>
        <v>Losser</v>
      </c>
      <c r="F119" s="248"/>
      <c r="G119" s="246" t="s">
        <v>679</v>
      </c>
      <c r="H119" s="246" t="s">
        <v>427</v>
      </c>
      <c r="I119" s="248" t="s">
        <v>501</v>
      </c>
      <c r="J119" s="187">
        <v>16</v>
      </c>
      <c r="K119" s="187" t="str">
        <f>VLOOKUP(Ruimtestaat[[#This Row],[Ruimte code]],Ruimtegroepen[#All],2,FALSE)</f>
        <v>Leslokalen/computerlokaal</v>
      </c>
      <c r="L119" s="187" t="s">
        <v>109</v>
      </c>
      <c r="M119" s="249" t="s">
        <v>1203</v>
      </c>
      <c r="N119" s="200">
        <v>52.2</v>
      </c>
      <c r="O119" s="190"/>
      <c r="P119" s="231" t="str">
        <f>VLOOKUP(Ruimtestaat[[#This Row],[Ruimte code]],Ruimtegroepen[#All],4,FALSE)</f>
        <v>L  (Lesruimte)</v>
      </c>
      <c r="Q119" s="201"/>
      <c r="R119" s="202">
        <v>42</v>
      </c>
      <c r="S119" s="202" t="s">
        <v>2</v>
      </c>
      <c r="T119" s="202">
        <f>IF(R119&gt;0,IF(RIGHT(Ruimtestaat[[#This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19" s="202">
        <f>IF(T119&gt;0,VLOOKUP($J119,Ruimtegroepen[],3,FALSE)*VLOOKUP($L119,Vloersoorten[],3,FALSE)*VLOOKUP($S119,Frequenties[],3,FALSE)*VLOOKUP($A119,Locaties[],3,FALSE),0)</f>
        <v>0</v>
      </c>
      <c r="V119" s="202">
        <f>Ruimtestaat[[#This Row],[Uitvoeringen werkdagen]]*Ruimtestaat[[#This Row],[Oppervlak (netto)]]</f>
        <v>10962</v>
      </c>
      <c r="W119" s="242">
        <f>IF(U119&gt;0,Ruimtestaat[[#This Row],[Prest. (m2 /jaar) werkdagen]]/Ruimtestaat[[#This Row],[Norm (m2/uur) werkdagen]],0)</f>
        <v>0</v>
      </c>
      <c r="X119" s="243">
        <f>Ruimtestaat[[#This Row],[uren / jaar werkdagen]]*Tariefsopbouw!$D$38</f>
        <v>0</v>
      </c>
      <c r="Y119" s="33"/>
      <c r="Z119" s="33">
        <f>IF(Ruimtestaat[[#This Row],[Frequentie weekend]]&gt;0,VALUE(LEFT(Y119,1))*R119,0)</f>
        <v>0</v>
      </c>
      <c r="AA119" s="33">
        <f>IF($Z119&gt;0,VLOOKUP($J119,Ruimtegroepen[],3,FALSE)*VLOOKUP($L119,Vloersoorten[],3,FALSE)*VLOOKUP($Y119,Frequenties[],3,FALSE)*VLOOKUP(#REF!,Locaties[],3,FALSE),0)</f>
        <v>0</v>
      </c>
      <c r="AB119" s="33"/>
      <c r="AC119" s="33"/>
      <c r="AD119" s="33">
        <f>Ruimtestaat[[#This Row],[uren / jaar weekend]]*Tariefsopbouw!$D$40</f>
        <v>0</v>
      </c>
      <c r="AE119" s="86">
        <f>Ruimtestaat[[#This Row],[Prest. (m2 /jaar) weekend]]+Ruimtestaat[[#This Row],[Prest. (m2 /jaar) werkdagen]]</f>
        <v>10962</v>
      </c>
      <c r="AF119" s="86">
        <f>Ruimtestaat[[#This Row],[uren / jaar weekend]]+Ruimtestaat[[#This Row],[uren / jaar werkdagen]]</f>
        <v>0</v>
      </c>
      <c r="AG119" s="87">
        <f>Ruimtestaat[[#This Row],[kosten / jaar weekend]]+Ruimtestaat[[#This Row],[kosten / jaar werkdagen]]</f>
        <v>0</v>
      </c>
    </row>
    <row r="120" spans="1:33" ht="15" customHeight="1">
      <c r="A120" s="246">
        <v>2</v>
      </c>
      <c r="B120" s="21" t="str">
        <f>VLOOKUP(Ruimtestaat[[#This Row],[Code]],Locaties[#All],2,FALSE)</f>
        <v>Losser</v>
      </c>
      <c r="C120" s="247" t="str">
        <f>VLOOKUP(Ruimtestaat[[#This Row],[Code]],Locaties[#All],4,FALSE)</f>
        <v>Oranjestraat 2</v>
      </c>
      <c r="D120" s="247" t="str">
        <f>VLOOKUP(Ruimtestaat[[#This Row],[Code]],Locaties[#All],5,FALSE)</f>
        <v>7607 BJ </v>
      </c>
      <c r="E120" s="187" t="str">
        <f>VLOOKUP(Ruimtestaat[[#This Row],[Code]],Locaties[#All],6,FALSE)</f>
        <v>Losser</v>
      </c>
      <c r="F120" s="248"/>
      <c r="G120" s="246" t="s">
        <v>679</v>
      </c>
      <c r="H120" s="246" t="s">
        <v>429</v>
      </c>
      <c r="I120" s="248" t="s">
        <v>501</v>
      </c>
      <c r="J120" s="187">
        <v>16</v>
      </c>
      <c r="K120" s="187" t="str">
        <f>VLOOKUP(Ruimtestaat[[#This Row],[Ruimte code]],Ruimtegroepen[#All],2,FALSE)</f>
        <v>Leslokalen/computerlokaal</v>
      </c>
      <c r="L120" s="187" t="s">
        <v>109</v>
      </c>
      <c r="M120" s="249" t="s">
        <v>1203</v>
      </c>
      <c r="N120" s="200">
        <v>52.6</v>
      </c>
      <c r="O120" s="190"/>
      <c r="P120" s="231" t="str">
        <f>VLOOKUP(Ruimtestaat[[#This Row],[Ruimte code]],Ruimtegroepen[#All],4,FALSE)</f>
        <v>L  (Lesruimte)</v>
      </c>
      <c r="Q120" s="201"/>
      <c r="R120" s="202">
        <v>42</v>
      </c>
      <c r="S120" s="202" t="s">
        <v>2</v>
      </c>
      <c r="T120" s="202">
        <f>IF(R120&gt;0,IF(RIGHT(Ruimtestaat[[#This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20" s="202">
        <f>IF(T120&gt;0,VLOOKUP($J120,Ruimtegroepen[],3,FALSE)*VLOOKUP($L120,Vloersoorten[],3,FALSE)*VLOOKUP($S120,Frequenties[],3,FALSE)*VLOOKUP($A120,Locaties[],3,FALSE),0)</f>
        <v>0</v>
      </c>
      <c r="V120" s="202">
        <f>Ruimtestaat[[#This Row],[Uitvoeringen werkdagen]]*Ruimtestaat[[#This Row],[Oppervlak (netto)]]</f>
        <v>11046</v>
      </c>
      <c r="W120" s="242">
        <f>IF(U120&gt;0,Ruimtestaat[[#This Row],[Prest. (m2 /jaar) werkdagen]]/Ruimtestaat[[#This Row],[Norm (m2/uur) werkdagen]],0)</f>
        <v>0</v>
      </c>
      <c r="X120" s="243">
        <f>Ruimtestaat[[#This Row],[uren / jaar werkdagen]]*Tariefsopbouw!$D$38</f>
        <v>0</v>
      </c>
      <c r="Y120" s="33"/>
      <c r="Z120" s="33">
        <f>IF(Ruimtestaat[[#This Row],[Frequentie weekend]]&gt;0,VALUE(LEFT(Y120,1))*R120,0)</f>
        <v>0</v>
      </c>
      <c r="AA120" s="33">
        <f>IF($Z120&gt;0,VLOOKUP($J120,Ruimtegroepen[],3,FALSE)*VLOOKUP($L120,Vloersoorten[],3,FALSE)*VLOOKUP($Y120,Frequenties[],3,FALSE)*VLOOKUP(#REF!,Locaties[],3,FALSE),0)</f>
        <v>0</v>
      </c>
      <c r="AB120" s="33"/>
      <c r="AC120" s="33"/>
      <c r="AD120" s="33">
        <f>Ruimtestaat[[#This Row],[uren / jaar weekend]]*Tariefsopbouw!$D$40</f>
        <v>0</v>
      </c>
      <c r="AE120" s="86">
        <f>Ruimtestaat[[#This Row],[Prest. (m2 /jaar) weekend]]+Ruimtestaat[[#This Row],[Prest. (m2 /jaar) werkdagen]]</f>
        <v>11046</v>
      </c>
      <c r="AF120" s="86">
        <f>Ruimtestaat[[#This Row],[uren / jaar weekend]]+Ruimtestaat[[#This Row],[uren / jaar werkdagen]]</f>
        <v>0</v>
      </c>
      <c r="AG120" s="87">
        <f>Ruimtestaat[[#This Row],[kosten / jaar weekend]]+Ruimtestaat[[#This Row],[kosten / jaar werkdagen]]</f>
        <v>0</v>
      </c>
    </row>
    <row r="121" spans="1:33" ht="15" customHeight="1">
      <c r="A121" s="246">
        <v>2</v>
      </c>
      <c r="B121" s="21" t="str">
        <f>VLOOKUP(Ruimtestaat[[#This Row],[Code]],Locaties[#All],2,FALSE)</f>
        <v>Losser</v>
      </c>
      <c r="C121" s="247" t="str">
        <f>VLOOKUP(Ruimtestaat[[#This Row],[Code]],Locaties[#All],4,FALSE)</f>
        <v>Oranjestraat 2</v>
      </c>
      <c r="D121" s="247" t="str">
        <f>VLOOKUP(Ruimtestaat[[#This Row],[Code]],Locaties[#All],5,FALSE)</f>
        <v>7607 BJ </v>
      </c>
      <c r="E121" s="187" t="str">
        <f>VLOOKUP(Ruimtestaat[[#This Row],[Code]],Locaties[#All],6,FALSE)</f>
        <v>Losser</v>
      </c>
      <c r="F121" s="248"/>
      <c r="G121" s="246" t="s">
        <v>679</v>
      </c>
      <c r="H121" s="246" t="s">
        <v>431</v>
      </c>
      <c r="I121" s="248" t="s">
        <v>1158</v>
      </c>
      <c r="J121" s="187">
        <v>16</v>
      </c>
      <c r="K121" s="187" t="str">
        <f>VLOOKUP(Ruimtestaat[[#This Row],[Ruimte code]],Ruimtegroepen[#All],2,FALSE)</f>
        <v>Leslokalen/computerlokaal</v>
      </c>
      <c r="L121" s="187" t="s">
        <v>109</v>
      </c>
      <c r="M121" s="249" t="s">
        <v>1203</v>
      </c>
      <c r="N121" s="200">
        <v>124.8</v>
      </c>
      <c r="O121" s="190"/>
      <c r="P121" s="231" t="str">
        <f>VLOOKUP(Ruimtestaat[[#This Row],[Ruimte code]],Ruimtegroepen[#All],4,FALSE)</f>
        <v>L  (Lesruimte)</v>
      </c>
      <c r="Q121" s="201"/>
      <c r="R121" s="202">
        <v>42</v>
      </c>
      <c r="S121" s="202" t="s">
        <v>2</v>
      </c>
      <c r="T121" s="202">
        <f>IF(R121&gt;0,IF(RIGHT(Ruimtestaat[[#This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21" s="202">
        <f>IF(T121&gt;0,VLOOKUP($J121,Ruimtegroepen[],3,FALSE)*VLOOKUP($L121,Vloersoorten[],3,FALSE)*VLOOKUP($S121,Frequenties[],3,FALSE)*VLOOKUP($A121,Locaties[],3,FALSE),0)</f>
        <v>0</v>
      </c>
      <c r="V121" s="202">
        <f>Ruimtestaat[[#This Row],[Uitvoeringen werkdagen]]*Ruimtestaat[[#This Row],[Oppervlak (netto)]]</f>
        <v>26208</v>
      </c>
      <c r="W121" s="242">
        <f>IF(U121&gt;0,Ruimtestaat[[#This Row],[Prest. (m2 /jaar) werkdagen]]/Ruimtestaat[[#This Row],[Norm (m2/uur) werkdagen]],0)</f>
        <v>0</v>
      </c>
      <c r="X121" s="243">
        <f>Ruimtestaat[[#This Row],[uren / jaar werkdagen]]*Tariefsopbouw!$D$38</f>
        <v>0</v>
      </c>
      <c r="Y121" s="33"/>
      <c r="Z121" s="33">
        <f>IF(Ruimtestaat[[#This Row],[Frequentie weekend]]&gt;0,VALUE(LEFT(Y121,1))*R121,0)</f>
        <v>0</v>
      </c>
      <c r="AA121" s="33">
        <f>IF($Z121&gt;0,VLOOKUP($J121,Ruimtegroepen[],3,FALSE)*VLOOKUP($L121,Vloersoorten[],3,FALSE)*VLOOKUP($Y121,Frequenties[],3,FALSE)*VLOOKUP(#REF!,Locaties[],3,FALSE),0)</f>
        <v>0</v>
      </c>
      <c r="AB121" s="33"/>
      <c r="AC121" s="33"/>
      <c r="AD121" s="33">
        <f>Ruimtestaat[[#This Row],[uren / jaar weekend]]*Tariefsopbouw!$D$40</f>
        <v>0</v>
      </c>
      <c r="AE121" s="86">
        <f>Ruimtestaat[[#This Row],[Prest. (m2 /jaar) weekend]]+Ruimtestaat[[#This Row],[Prest. (m2 /jaar) werkdagen]]</f>
        <v>26208</v>
      </c>
      <c r="AF121" s="86">
        <f>Ruimtestaat[[#This Row],[uren / jaar weekend]]+Ruimtestaat[[#This Row],[uren / jaar werkdagen]]</f>
        <v>0</v>
      </c>
      <c r="AG121" s="87">
        <f>Ruimtestaat[[#This Row],[kosten / jaar weekend]]+Ruimtestaat[[#This Row],[kosten / jaar werkdagen]]</f>
        <v>0</v>
      </c>
    </row>
    <row r="122" spans="1:33" ht="15" customHeight="1">
      <c r="A122" s="246">
        <v>2</v>
      </c>
      <c r="B122" s="21" t="str">
        <f>VLOOKUP(Ruimtestaat[[#This Row],[Code]],Locaties[#All],2,FALSE)</f>
        <v>Losser</v>
      </c>
      <c r="C122" s="247" t="str">
        <f>VLOOKUP(Ruimtestaat[[#This Row],[Code]],Locaties[#All],4,FALSE)</f>
        <v>Oranjestraat 2</v>
      </c>
      <c r="D122" s="247" t="str">
        <f>VLOOKUP(Ruimtestaat[[#This Row],[Code]],Locaties[#All],5,FALSE)</f>
        <v>7607 BJ </v>
      </c>
      <c r="E122" s="187" t="str">
        <f>VLOOKUP(Ruimtestaat[[#This Row],[Code]],Locaties[#All],6,FALSE)</f>
        <v>Losser</v>
      </c>
      <c r="F122" s="248"/>
      <c r="G122" s="246" t="s">
        <v>679</v>
      </c>
      <c r="H122" s="246" t="s">
        <v>805</v>
      </c>
      <c r="I122" s="248" t="s">
        <v>501</v>
      </c>
      <c r="J122" s="187">
        <v>16</v>
      </c>
      <c r="K122" s="187" t="str">
        <f>VLOOKUP(Ruimtestaat[[#This Row],[Ruimte code]],Ruimtegroepen[#All],2,FALSE)</f>
        <v>Leslokalen/computerlokaal</v>
      </c>
      <c r="L122" s="187" t="s">
        <v>109</v>
      </c>
      <c r="M122" s="249" t="s">
        <v>1203</v>
      </c>
      <c r="N122" s="200">
        <v>53.1</v>
      </c>
      <c r="O122" s="190"/>
      <c r="P122" s="231" t="str">
        <f>VLOOKUP(Ruimtestaat[[#This Row],[Ruimte code]],Ruimtegroepen[#All],4,FALSE)</f>
        <v>L  (Lesruimte)</v>
      </c>
      <c r="Q122" s="201"/>
      <c r="R122" s="202">
        <v>42</v>
      </c>
      <c r="S122" s="202" t="s">
        <v>2</v>
      </c>
      <c r="T122" s="202">
        <f>IF(R122&gt;0,IF(RIGHT(Ruimtestaat[[#This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22" s="202">
        <f>IF(T122&gt;0,VLOOKUP($J122,Ruimtegroepen[],3,FALSE)*VLOOKUP($L122,Vloersoorten[],3,FALSE)*VLOOKUP($S122,Frequenties[],3,FALSE)*VLOOKUP($A122,Locaties[],3,FALSE),0)</f>
        <v>0</v>
      </c>
      <c r="V122" s="202">
        <f>Ruimtestaat[[#This Row],[Uitvoeringen werkdagen]]*Ruimtestaat[[#This Row],[Oppervlak (netto)]]</f>
        <v>11151</v>
      </c>
      <c r="W122" s="242">
        <f>IF(U122&gt;0,Ruimtestaat[[#This Row],[Prest. (m2 /jaar) werkdagen]]/Ruimtestaat[[#This Row],[Norm (m2/uur) werkdagen]],0)</f>
        <v>0</v>
      </c>
      <c r="X122" s="243">
        <f>Ruimtestaat[[#This Row],[uren / jaar werkdagen]]*Tariefsopbouw!$D$38</f>
        <v>0</v>
      </c>
      <c r="Y122" s="33"/>
      <c r="Z122" s="33">
        <f>IF(Ruimtestaat[[#This Row],[Frequentie weekend]]&gt;0,VALUE(LEFT(Y122,1))*R122,0)</f>
        <v>0</v>
      </c>
      <c r="AA122" s="33">
        <f>IF($Z122&gt;0,VLOOKUP($J122,Ruimtegroepen[],3,FALSE)*VLOOKUP($L122,Vloersoorten[],3,FALSE)*VLOOKUP($Y122,Frequenties[],3,FALSE)*VLOOKUP(#REF!,Locaties[],3,FALSE),0)</f>
        <v>0</v>
      </c>
      <c r="AB122" s="33"/>
      <c r="AC122" s="33"/>
      <c r="AD122" s="33">
        <f>Ruimtestaat[[#This Row],[uren / jaar weekend]]*Tariefsopbouw!$D$40</f>
        <v>0</v>
      </c>
      <c r="AE122" s="86">
        <f>Ruimtestaat[[#This Row],[Prest. (m2 /jaar) weekend]]+Ruimtestaat[[#This Row],[Prest. (m2 /jaar) werkdagen]]</f>
        <v>11151</v>
      </c>
      <c r="AF122" s="86">
        <f>Ruimtestaat[[#This Row],[uren / jaar weekend]]+Ruimtestaat[[#This Row],[uren / jaar werkdagen]]</f>
        <v>0</v>
      </c>
      <c r="AG122" s="87">
        <f>Ruimtestaat[[#This Row],[kosten / jaar weekend]]+Ruimtestaat[[#This Row],[kosten / jaar werkdagen]]</f>
        <v>0</v>
      </c>
    </row>
    <row r="123" spans="1:33" ht="15" customHeight="1">
      <c r="A123" s="246">
        <v>2</v>
      </c>
      <c r="B123" s="21" t="str">
        <f>VLOOKUP(Ruimtestaat[[#This Row],[Code]],Locaties[#All],2,FALSE)</f>
        <v>Losser</v>
      </c>
      <c r="C123" s="247" t="str">
        <f>VLOOKUP(Ruimtestaat[[#This Row],[Code]],Locaties[#All],4,FALSE)</f>
        <v>Oranjestraat 2</v>
      </c>
      <c r="D123" s="247" t="str">
        <f>VLOOKUP(Ruimtestaat[[#This Row],[Code]],Locaties[#All],5,FALSE)</f>
        <v>7607 BJ </v>
      </c>
      <c r="E123" s="187" t="str">
        <f>VLOOKUP(Ruimtestaat[[#This Row],[Code]],Locaties[#All],6,FALSE)</f>
        <v>Losser</v>
      </c>
      <c r="F123" s="248"/>
      <c r="G123" s="246" t="s">
        <v>679</v>
      </c>
      <c r="H123" s="246" t="s">
        <v>432</v>
      </c>
      <c r="I123" s="248" t="s">
        <v>502</v>
      </c>
      <c r="J123" s="187">
        <v>16</v>
      </c>
      <c r="K123" s="187" t="str">
        <f>VLOOKUP(Ruimtestaat[[#This Row],[Ruimte code]],Ruimtegroepen[#All],2,FALSE)</f>
        <v>Leslokalen/computerlokaal</v>
      </c>
      <c r="L123" s="187" t="s">
        <v>109</v>
      </c>
      <c r="M123" s="249" t="s">
        <v>1203</v>
      </c>
      <c r="N123" s="200">
        <v>170.2</v>
      </c>
      <c r="O123" s="190"/>
      <c r="P123" s="231" t="str">
        <f>VLOOKUP(Ruimtestaat[[#This Row],[Ruimte code]],Ruimtegroepen[#All],4,FALSE)</f>
        <v>L  (Lesruimte)</v>
      </c>
      <c r="Q123" s="201"/>
      <c r="R123" s="202">
        <v>42</v>
      </c>
      <c r="S123" s="202" t="s">
        <v>2</v>
      </c>
      <c r="T123" s="202">
        <f>IF(R123&gt;0,IF(RIGHT(Ruimtestaat[[#This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23" s="202">
        <f>IF(T123&gt;0,VLOOKUP($J123,Ruimtegroepen[],3,FALSE)*VLOOKUP($L123,Vloersoorten[],3,FALSE)*VLOOKUP($S123,Frequenties[],3,FALSE)*VLOOKUP($A123,Locaties[],3,FALSE),0)</f>
        <v>0</v>
      </c>
      <c r="V123" s="202">
        <f>Ruimtestaat[[#This Row],[Uitvoeringen werkdagen]]*Ruimtestaat[[#This Row],[Oppervlak (netto)]]</f>
        <v>35742</v>
      </c>
      <c r="W123" s="242">
        <f>IF(U123&gt;0,Ruimtestaat[[#This Row],[Prest. (m2 /jaar) werkdagen]]/Ruimtestaat[[#This Row],[Norm (m2/uur) werkdagen]],0)</f>
        <v>0</v>
      </c>
      <c r="X123" s="243">
        <f>Ruimtestaat[[#This Row],[uren / jaar werkdagen]]*Tariefsopbouw!$D$38</f>
        <v>0</v>
      </c>
      <c r="Y123" s="33"/>
      <c r="Z123" s="33">
        <f>IF(Ruimtestaat[[#This Row],[Frequentie weekend]]&gt;0,VALUE(LEFT(Y123,1))*R123,0)</f>
        <v>0</v>
      </c>
      <c r="AA123" s="33">
        <f>IF($Z123&gt;0,VLOOKUP($J123,Ruimtegroepen[],3,FALSE)*VLOOKUP($L123,Vloersoorten[],3,FALSE)*VLOOKUP($Y123,Frequenties[],3,FALSE)*VLOOKUP(#REF!,Locaties[],3,FALSE),0)</f>
        <v>0</v>
      </c>
      <c r="AB123" s="33"/>
      <c r="AC123" s="33"/>
      <c r="AD123" s="33">
        <f>Ruimtestaat[[#This Row],[uren / jaar weekend]]*Tariefsopbouw!$D$40</f>
        <v>0</v>
      </c>
      <c r="AE123" s="86">
        <f>Ruimtestaat[[#This Row],[Prest. (m2 /jaar) weekend]]+Ruimtestaat[[#This Row],[Prest. (m2 /jaar) werkdagen]]</f>
        <v>35742</v>
      </c>
      <c r="AF123" s="86">
        <f>Ruimtestaat[[#This Row],[uren / jaar weekend]]+Ruimtestaat[[#This Row],[uren / jaar werkdagen]]</f>
        <v>0</v>
      </c>
      <c r="AG123" s="87">
        <f>Ruimtestaat[[#This Row],[kosten / jaar weekend]]+Ruimtestaat[[#This Row],[kosten / jaar werkdagen]]</f>
        <v>0</v>
      </c>
    </row>
    <row r="124" spans="1:33" ht="15" customHeight="1">
      <c r="A124" s="246">
        <v>2</v>
      </c>
      <c r="B124" s="21" t="str">
        <f>VLOOKUP(Ruimtestaat[[#This Row],[Code]],Locaties[#All],2,FALSE)</f>
        <v>Losser</v>
      </c>
      <c r="C124" s="247" t="str">
        <f>VLOOKUP(Ruimtestaat[[#This Row],[Code]],Locaties[#All],4,FALSE)</f>
        <v>Oranjestraat 2</v>
      </c>
      <c r="D124" s="247" t="str">
        <f>VLOOKUP(Ruimtestaat[[#This Row],[Code]],Locaties[#All],5,FALSE)</f>
        <v>7607 BJ </v>
      </c>
      <c r="E124" s="187" t="str">
        <f>VLOOKUP(Ruimtestaat[[#This Row],[Code]],Locaties[#All],6,FALSE)</f>
        <v>Losser</v>
      </c>
      <c r="F124" s="248"/>
      <c r="G124" s="246" t="s">
        <v>679</v>
      </c>
      <c r="H124" s="246" t="s">
        <v>505</v>
      </c>
      <c r="I124" s="248" t="s">
        <v>1159</v>
      </c>
      <c r="J124" s="187">
        <v>2</v>
      </c>
      <c r="K124" s="187" t="str">
        <f>VLOOKUP(Ruimtestaat[[#This Row],[Ruimte code]],Ruimtegroepen[#All],2,FALSE)</f>
        <v>Kantoren/kantoortuin</v>
      </c>
      <c r="L124" s="187" t="s">
        <v>109</v>
      </c>
      <c r="M124" s="249" t="s">
        <v>1203</v>
      </c>
      <c r="N124" s="200">
        <v>25.1</v>
      </c>
      <c r="O124" s="190"/>
      <c r="P124" s="231" t="str">
        <f>VLOOKUP(Ruimtestaat[[#This Row],[Ruimte code]],Ruimtegroepen[#All],4,FALSE)</f>
        <v>B  (Bureauruimte)</v>
      </c>
      <c r="Q124" s="201"/>
      <c r="R124" s="202">
        <v>42</v>
      </c>
      <c r="S124" s="202" t="s">
        <v>2</v>
      </c>
      <c r="T124" s="202">
        <f>IF(R124&gt;0,IF(RIGHT(Ruimtestaat[[#This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24" s="202">
        <f>IF(T124&gt;0,VLOOKUP($J124,Ruimtegroepen[],3,FALSE)*VLOOKUP($L124,Vloersoorten[],3,FALSE)*VLOOKUP($S124,Frequenties[],3,FALSE)*VLOOKUP($A124,Locaties[],3,FALSE),0)</f>
        <v>0</v>
      </c>
      <c r="V124" s="202">
        <f>Ruimtestaat[[#This Row],[Uitvoeringen werkdagen]]*Ruimtestaat[[#This Row],[Oppervlak (netto)]]</f>
        <v>5271</v>
      </c>
      <c r="W124" s="242">
        <f>IF(U124&gt;0,Ruimtestaat[[#This Row],[Prest. (m2 /jaar) werkdagen]]/Ruimtestaat[[#This Row],[Norm (m2/uur) werkdagen]],0)</f>
        <v>0</v>
      </c>
      <c r="X124" s="243">
        <f>Ruimtestaat[[#This Row],[uren / jaar werkdagen]]*Tariefsopbouw!$D$38</f>
        <v>0</v>
      </c>
      <c r="Y124" s="33"/>
      <c r="Z124" s="33">
        <f>IF(Ruimtestaat[[#This Row],[Frequentie weekend]]&gt;0,VALUE(LEFT(Y124,1))*R124,0)</f>
        <v>0</v>
      </c>
      <c r="AA124" s="33">
        <f>IF($Z124&gt;0,VLOOKUP($J124,Ruimtegroepen[],3,FALSE)*VLOOKUP($L124,Vloersoorten[],3,FALSE)*VLOOKUP($Y124,Frequenties[],3,FALSE)*VLOOKUP(#REF!,Locaties[],3,FALSE),0)</f>
        <v>0</v>
      </c>
      <c r="AB124" s="33"/>
      <c r="AC124" s="33"/>
      <c r="AD124" s="33">
        <f>Ruimtestaat[[#This Row],[uren / jaar weekend]]*Tariefsopbouw!$D$40</f>
        <v>0</v>
      </c>
      <c r="AE124" s="86">
        <f>Ruimtestaat[[#This Row],[Prest. (m2 /jaar) weekend]]+Ruimtestaat[[#This Row],[Prest. (m2 /jaar) werkdagen]]</f>
        <v>5271</v>
      </c>
      <c r="AF124" s="86">
        <f>Ruimtestaat[[#This Row],[uren / jaar weekend]]+Ruimtestaat[[#This Row],[uren / jaar werkdagen]]</f>
        <v>0</v>
      </c>
      <c r="AG124" s="87">
        <f>Ruimtestaat[[#This Row],[kosten / jaar weekend]]+Ruimtestaat[[#This Row],[kosten / jaar werkdagen]]</f>
        <v>0</v>
      </c>
    </row>
    <row r="125" spans="1:33" ht="15" customHeight="1">
      <c r="A125" s="246">
        <v>2</v>
      </c>
      <c r="B125" s="21" t="str">
        <f>VLOOKUP(Ruimtestaat[[#This Row],[Code]],Locaties[#All],2,FALSE)</f>
        <v>Losser</v>
      </c>
      <c r="C125" s="247" t="str">
        <f>VLOOKUP(Ruimtestaat[[#This Row],[Code]],Locaties[#All],4,FALSE)</f>
        <v>Oranjestraat 2</v>
      </c>
      <c r="D125" s="247" t="str">
        <f>VLOOKUP(Ruimtestaat[[#This Row],[Code]],Locaties[#All],5,FALSE)</f>
        <v>7607 BJ </v>
      </c>
      <c r="E125" s="187" t="str">
        <f>VLOOKUP(Ruimtestaat[[#This Row],[Code]],Locaties[#All],6,FALSE)</f>
        <v>Losser</v>
      </c>
      <c r="F125" s="248"/>
      <c r="G125" s="246" t="s">
        <v>679</v>
      </c>
      <c r="H125" s="246" t="s">
        <v>506</v>
      </c>
      <c r="I125" s="248" t="s">
        <v>1160</v>
      </c>
      <c r="J125" s="202">
        <v>2</v>
      </c>
      <c r="K125" s="202" t="str">
        <f>VLOOKUP(Ruimtestaat[[#This Row],[Ruimte code]],Ruimtegroepen[#All],2,FALSE)</f>
        <v>Kantoren/kantoortuin</v>
      </c>
      <c r="L125" s="187" t="s">
        <v>109</v>
      </c>
      <c r="M125" s="249" t="s">
        <v>1203</v>
      </c>
      <c r="N125" s="200">
        <v>25.8</v>
      </c>
      <c r="O125" s="190"/>
      <c r="P125" s="231" t="str">
        <f>VLOOKUP(Ruimtestaat[[#This Row],[Ruimte code]],Ruimtegroepen[#All],4,FALSE)</f>
        <v>B  (Bureauruimte)</v>
      </c>
      <c r="Q125" s="201"/>
      <c r="R125" s="202">
        <v>42</v>
      </c>
      <c r="S125" s="202" t="s">
        <v>2</v>
      </c>
      <c r="T125" s="202">
        <f>IF(R125&gt;0,IF(RIGHT(Ruimtestaat[[#This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25" s="202">
        <f>IF(T125&gt;0,VLOOKUP($J125,Ruimtegroepen[],3,FALSE)*VLOOKUP($L125,Vloersoorten[],3,FALSE)*VLOOKUP($S125,Frequenties[],3,FALSE)*VLOOKUP($A125,Locaties[],3,FALSE),0)</f>
        <v>0</v>
      </c>
      <c r="V125" s="202">
        <f>Ruimtestaat[[#This Row],[Uitvoeringen werkdagen]]*Ruimtestaat[[#This Row],[Oppervlak (netto)]]</f>
        <v>5418</v>
      </c>
      <c r="W125" s="242">
        <f>IF(U125&gt;0,Ruimtestaat[[#This Row],[Prest. (m2 /jaar) werkdagen]]/Ruimtestaat[[#This Row],[Norm (m2/uur) werkdagen]],0)</f>
        <v>0</v>
      </c>
      <c r="X125" s="243">
        <f>Ruimtestaat[[#This Row],[uren / jaar werkdagen]]*Tariefsopbouw!$D$38</f>
        <v>0</v>
      </c>
      <c r="Y125" s="33"/>
      <c r="Z125" s="33">
        <f>IF(Ruimtestaat[[#This Row],[Frequentie weekend]]&gt;0,VALUE(LEFT(Y125,1))*R125,0)</f>
        <v>0</v>
      </c>
      <c r="AA125" s="33">
        <f>IF($Z125&gt;0,VLOOKUP($J125,Ruimtegroepen[],3,FALSE)*VLOOKUP($L125,Vloersoorten[],3,FALSE)*VLOOKUP($Y125,Frequenties[],3,FALSE)*VLOOKUP(#REF!,Locaties[],3,FALSE),0)</f>
        <v>0</v>
      </c>
      <c r="AB125" s="33"/>
      <c r="AC125" s="33"/>
      <c r="AD125" s="33">
        <f>Ruimtestaat[[#This Row],[uren / jaar weekend]]*Tariefsopbouw!$D$40</f>
        <v>0</v>
      </c>
      <c r="AE125" s="86">
        <f>Ruimtestaat[[#This Row],[Prest. (m2 /jaar) weekend]]+Ruimtestaat[[#This Row],[Prest. (m2 /jaar) werkdagen]]</f>
        <v>5418</v>
      </c>
      <c r="AF125" s="86">
        <f>Ruimtestaat[[#This Row],[uren / jaar weekend]]+Ruimtestaat[[#This Row],[uren / jaar werkdagen]]</f>
        <v>0</v>
      </c>
      <c r="AG125" s="87">
        <f>Ruimtestaat[[#This Row],[kosten / jaar weekend]]+Ruimtestaat[[#This Row],[kosten / jaar werkdagen]]</f>
        <v>0</v>
      </c>
    </row>
    <row r="126" spans="1:33" ht="15" customHeight="1">
      <c r="A126" s="246">
        <v>2</v>
      </c>
      <c r="B126" s="21" t="str">
        <f>VLOOKUP(Ruimtestaat[[#This Row],[Code]],Locaties[#All],2,FALSE)</f>
        <v>Losser</v>
      </c>
      <c r="C126" s="247" t="str">
        <f>VLOOKUP(Ruimtestaat[[#This Row],[Code]],Locaties[#All],4,FALSE)</f>
        <v>Oranjestraat 2</v>
      </c>
      <c r="D126" s="247" t="str">
        <f>VLOOKUP(Ruimtestaat[[#This Row],[Code]],Locaties[#All],5,FALSE)</f>
        <v>7607 BJ </v>
      </c>
      <c r="E126" s="187" t="str">
        <f>VLOOKUP(Ruimtestaat[[#This Row],[Code]],Locaties[#All],6,FALSE)</f>
        <v>Losser</v>
      </c>
      <c r="F126" s="248"/>
      <c r="G126" s="246" t="s">
        <v>679</v>
      </c>
      <c r="H126" s="246" t="s">
        <v>507</v>
      </c>
      <c r="I126" s="248" t="s">
        <v>1152</v>
      </c>
      <c r="J126" s="247">
        <v>12</v>
      </c>
      <c r="K126" s="247" t="str">
        <f>VLOOKUP(Ruimtestaat[[#This Row],[Ruimte code]],Ruimtegroepen[#All],2,FALSE)</f>
        <v>Kantine/aula</v>
      </c>
      <c r="L126" s="187" t="s">
        <v>109</v>
      </c>
      <c r="M126" s="249" t="s">
        <v>1203</v>
      </c>
      <c r="N126" s="200">
        <v>102.4</v>
      </c>
      <c r="O126" s="190"/>
      <c r="P126" s="231" t="str">
        <f>VLOOKUP(Ruimtestaat[[#This Row],[Ruimte code]],Ruimtegroepen[#All],4,FALSE)</f>
        <v>V  (Verkeersruimte)</v>
      </c>
      <c r="Q126" s="201"/>
      <c r="R126" s="202">
        <v>42</v>
      </c>
      <c r="S126" s="202" t="s">
        <v>2</v>
      </c>
      <c r="T126" s="202">
        <f>IF(R126&gt;0,IF(RIGHT(Ruimtestaat[[#This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26" s="202">
        <f>IF(T126&gt;0,VLOOKUP($J126,Ruimtegroepen[],3,FALSE)*VLOOKUP($L126,Vloersoorten[],3,FALSE)*VLOOKUP($S126,Frequenties[],3,FALSE)*VLOOKUP($A126,Locaties[],3,FALSE),0)</f>
        <v>0</v>
      </c>
      <c r="V126" s="202">
        <f>Ruimtestaat[[#This Row],[Uitvoeringen werkdagen]]*Ruimtestaat[[#This Row],[Oppervlak (netto)]]</f>
        <v>21504</v>
      </c>
      <c r="W126" s="242">
        <f>IF(U126&gt;0,Ruimtestaat[[#This Row],[Prest. (m2 /jaar) werkdagen]]/Ruimtestaat[[#This Row],[Norm (m2/uur) werkdagen]],0)</f>
        <v>0</v>
      </c>
      <c r="X126" s="243">
        <f>Ruimtestaat[[#This Row],[uren / jaar werkdagen]]*Tariefsopbouw!$D$38</f>
        <v>0</v>
      </c>
      <c r="Y126" s="33"/>
      <c r="Z126" s="33">
        <f>IF(Ruimtestaat[[#This Row],[Frequentie weekend]]&gt;0,VALUE(LEFT(Y126,1))*R126,0)</f>
        <v>0</v>
      </c>
      <c r="AA126" s="33">
        <f>IF($Z126&gt;0,VLOOKUP($J126,Ruimtegroepen[],3,FALSE)*VLOOKUP($L126,Vloersoorten[],3,FALSE)*VLOOKUP($Y126,Frequenties[],3,FALSE)*VLOOKUP(#REF!,Locaties[],3,FALSE),0)</f>
        <v>0</v>
      </c>
      <c r="AB126" s="33"/>
      <c r="AC126" s="33"/>
      <c r="AD126" s="33">
        <f>Ruimtestaat[[#This Row],[uren / jaar weekend]]*Tariefsopbouw!$D$40</f>
        <v>0</v>
      </c>
      <c r="AE126" s="86">
        <f>Ruimtestaat[[#This Row],[Prest. (m2 /jaar) weekend]]+Ruimtestaat[[#This Row],[Prest. (m2 /jaar) werkdagen]]</f>
        <v>21504</v>
      </c>
      <c r="AF126" s="86">
        <f>Ruimtestaat[[#This Row],[uren / jaar weekend]]+Ruimtestaat[[#This Row],[uren / jaar werkdagen]]</f>
        <v>0</v>
      </c>
      <c r="AG126" s="87">
        <f>Ruimtestaat[[#This Row],[kosten / jaar weekend]]+Ruimtestaat[[#This Row],[kosten / jaar werkdagen]]</f>
        <v>0</v>
      </c>
    </row>
    <row r="127" spans="1:33" ht="15" customHeight="1">
      <c r="A127" s="246">
        <v>2</v>
      </c>
      <c r="B127" s="21" t="str">
        <f>VLOOKUP(Ruimtestaat[[#This Row],[Code]],Locaties[#All],2,FALSE)</f>
        <v>Losser</v>
      </c>
      <c r="C127" s="247" t="str">
        <f>VLOOKUP(Ruimtestaat[[#This Row],[Code]],Locaties[#All],4,FALSE)</f>
        <v>Oranjestraat 2</v>
      </c>
      <c r="D127" s="247" t="str">
        <f>VLOOKUP(Ruimtestaat[[#This Row],[Code]],Locaties[#All],5,FALSE)</f>
        <v>7607 BJ </v>
      </c>
      <c r="E127" s="187" t="str">
        <f>VLOOKUP(Ruimtestaat[[#This Row],[Code]],Locaties[#All],6,FALSE)</f>
        <v>Losser</v>
      </c>
      <c r="F127" s="248"/>
      <c r="G127" s="246" t="s">
        <v>679</v>
      </c>
      <c r="H127" s="246" t="s">
        <v>508</v>
      </c>
      <c r="I127" s="248" t="s">
        <v>513</v>
      </c>
      <c r="J127" s="187">
        <v>5</v>
      </c>
      <c r="K127" s="187" t="str">
        <f>VLOOKUP(Ruimtestaat[[#This Row],[Ruimte code]],Ruimtegroepen[#All],2,FALSE)</f>
        <v>Sanitair</v>
      </c>
      <c r="L127" s="202" t="s">
        <v>108</v>
      </c>
      <c r="M127" s="249" t="s">
        <v>1206</v>
      </c>
      <c r="N127" s="200">
        <v>1.1000000000000001</v>
      </c>
      <c r="O127" s="190"/>
      <c r="P127" s="231" t="str">
        <f>VLOOKUP(Ruimtestaat[[#This Row],[Ruimte code]],Ruimtegroepen[#All],4,FALSE)</f>
        <v>S  (Sanitair)</v>
      </c>
      <c r="Q127" s="201"/>
      <c r="R127" s="202">
        <v>42</v>
      </c>
      <c r="S127" s="202" t="s">
        <v>2</v>
      </c>
      <c r="T127" s="202">
        <f>IF(R127&gt;0,IF(RIGHT(Ruimtestaat[[#This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27" s="202">
        <f>IF(T127&gt;0,VLOOKUP($J127,Ruimtegroepen[],3,FALSE)*VLOOKUP($L127,Vloersoorten[],3,FALSE)*VLOOKUP($S127,Frequenties[],3,FALSE)*VLOOKUP($A127,Locaties[],3,FALSE),0)</f>
        <v>0</v>
      </c>
      <c r="V127" s="202">
        <f>Ruimtestaat[[#This Row],[Uitvoeringen werkdagen]]*Ruimtestaat[[#This Row],[Oppervlak (netto)]]</f>
        <v>231.00000000000003</v>
      </c>
      <c r="W127" s="242">
        <f>IF(U127&gt;0,Ruimtestaat[[#This Row],[Prest. (m2 /jaar) werkdagen]]/Ruimtestaat[[#This Row],[Norm (m2/uur) werkdagen]],0)</f>
        <v>0</v>
      </c>
      <c r="X127" s="243">
        <f>Ruimtestaat[[#This Row],[uren / jaar werkdagen]]*Tariefsopbouw!$D$38</f>
        <v>0</v>
      </c>
      <c r="Y127" s="33"/>
      <c r="Z127" s="33">
        <f>IF(Ruimtestaat[[#This Row],[Frequentie weekend]]&gt;0,VALUE(LEFT(Y127,1))*R127,0)</f>
        <v>0</v>
      </c>
      <c r="AA127" s="33">
        <f>IF($Z127&gt;0,VLOOKUP($J127,Ruimtegroepen[],3,FALSE)*VLOOKUP($L127,Vloersoorten[],3,FALSE)*VLOOKUP($Y127,Frequenties[],3,FALSE)*VLOOKUP(#REF!,Locaties[],3,FALSE),0)</f>
        <v>0</v>
      </c>
      <c r="AB127" s="33"/>
      <c r="AC127" s="33"/>
      <c r="AD127" s="33">
        <f>Ruimtestaat[[#This Row],[uren / jaar weekend]]*Tariefsopbouw!$D$40</f>
        <v>0</v>
      </c>
      <c r="AE127" s="86">
        <f>Ruimtestaat[[#This Row],[Prest. (m2 /jaar) weekend]]+Ruimtestaat[[#This Row],[Prest. (m2 /jaar) werkdagen]]</f>
        <v>231.00000000000003</v>
      </c>
      <c r="AF127" s="86">
        <f>Ruimtestaat[[#This Row],[uren / jaar weekend]]+Ruimtestaat[[#This Row],[uren / jaar werkdagen]]</f>
        <v>0</v>
      </c>
      <c r="AG127" s="87">
        <f>Ruimtestaat[[#This Row],[kosten / jaar weekend]]+Ruimtestaat[[#This Row],[kosten / jaar werkdagen]]</f>
        <v>0</v>
      </c>
    </row>
    <row r="128" spans="1:33" ht="15" customHeight="1">
      <c r="A128" s="246">
        <v>2</v>
      </c>
      <c r="B128" s="21" t="str">
        <f>VLOOKUP(Ruimtestaat[[#This Row],[Code]],Locaties[#All],2,FALSE)</f>
        <v>Losser</v>
      </c>
      <c r="C128" s="247" t="str">
        <f>VLOOKUP(Ruimtestaat[[#This Row],[Code]],Locaties[#All],4,FALSE)</f>
        <v>Oranjestraat 2</v>
      </c>
      <c r="D128" s="247" t="str">
        <f>VLOOKUP(Ruimtestaat[[#This Row],[Code]],Locaties[#All],5,FALSE)</f>
        <v>7607 BJ </v>
      </c>
      <c r="E128" s="187" t="str">
        <f>VLOOKUP(Ruimtestaat[[#This Row],[Code]],Locaties[#All],6,FALSE)</f>
        <v>Losser</v>
      </c>
      <c r="F128" s="248"/>
      <c r="G128" s="246" t="s">
        <v>679</v>
      </c>
      <c r="H128" s="246" t="s">
        <v>510</v>
      </c>
      <c r="I128" s="248" t="s">
        <v>513</v>
      </c>
      <c r="J128" s="187">
        <v>5</v>
      </c>
      <c r="K128" s="187" t="str">
        <f>VLOOKUP(Ruimtestaat[[#This Row],[Ruimte code]],Ruimtegroepen[#All],2,FALSE)</f>
        <v>Sanitair</v>
      </c>
      <c r="L128" s="202" t="s">
        <v>108</v>
      </c>
      <c r="M128" s="249" t="s">
        <v>1206</v>
      </c>
      <c r="N128" s="200">
        <v>1.1000000000000001</v>
      </c>
      <c r="O128" s="190"/>
      <c r="P128" s="231" t="str">
        <f>VLOOKUP(Ruimtestaat[[#This Row],[Ruimte code]],Ruimtegroepen[#All],4,FALSE)</f>
        <v>S  (Sanitair)</v>
      </c>
      <c r="Q128" s="201"/>
      <c r="R128" s="202">
        <v>42</v>
      </c>
      <c r="S128" s="202" t="s">
        <v>2</v>
      </c>
      <c r="T128" s="202">
        <f>IF(R128&gt;0,IF(RIGHT(Ruimtestaat[[#This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28" s="202">
        <f>IF(T128&gt;0,VLOOKUP($J128,Ruimtegroepen[],3,FALSE)*VLOOKUP($L128,Vloersoorten[],3,FALSE)*VLOOKUP($S128,Frequenties[],3,FALSE)*VLOOKUP($A128,Locaties[],3,FALSE),0)</f>
        <v>0</v>
      </c>
      <c r="V128" s="202">
        <f>Ruimtestaat[[#This Row],[Uitvoeringen werkdagen]]*Ruimtestaat[[#This Row],[Oppervlak (netto)]]</f>
        <v>231.00000000000003</v>
      </c>
      <c r="W128" s="242">
        <f>IF(U128&gt;0,Ruimtestaat[[#This Row],[Prest. (m2 /jaar) werkdagen]]/Ruimtestaat[[#This Row],[Norm (m2/uur) werkdagen]],0)</f>
        <v>0</v>
      </c>
      <c r="X128" s="243">
        <f>Ruimtestaat[[#This Row],[uren / jaar werkdagen]]*Tariefsopbouw!$D$38</f>
        <v>0</v>
      </c>
      <c r="Y128" s="33"/>
      <c r="Z128" s="33">
        <f>IF(Ruimtestaat[[#This Row],[Frequentie weekend]]&gt;0,VALUE(LEFT(Y128,1))*R128,0)</f>
        <v>0</v>
      </c>
      <c r="AA128" s="33">
        <f>IF($Z128&gt;0,VLOOKUP($J128,Ruimtegroepen[],3,FALSE)*VLOOKUP($L128,Vloersoorten[],3,FALSE)*VLOOKUP($Y128,Frequenties[],3,FALSE)*VLOOKUP(#REF!,Locaties[],3,FALSE),0)</f>
        <v>0</v>
      </c>
      <c r="AB128" s="33"/>
      <c r="AC128" s="33"/>
      <c r="AD128" s="33">
        <f>Ruimtestaat[[#This Row],[uren / jaar weekend]]*Tariefsopbouw!$D$40</f>
        <v>0</v>
      </c>
      <c r="AE128" s="86">
        <f>Ruimtestaat[[#This Row],[Prest. (m2 /jaar) weekend]]+Ruimtestaat[[#This Row],[Prest. (m2 /jaar) werkdagen]]</f>
        <v>231.00000000000003</v>
      </c>
      <c r="AF128" s="86">
        <f>Ruimtestaat[[#This Row],[uren / jaar weekend]]+Ruimtestaat[[#This Row],[uren / jaar werkdagen]]</f>
        <v>0</v>
      </c>
      <c r="AG128" s="87">
        <f>Ruimtestaat[[#This Row],[kosten / jaar weekend]]+Ruimtestaat[[#This Row],[kosten / jaar werkdagen]]</f>
        <v>0</v>
      </c>
    </row>
    <row r="129" spans="1:219" ht="15" customHeight="1">
      <c r="A129" s="246">
        <v>2</v>
      </c>
      <c r="B129" s="21" t="str">
        <f>VLOOKUP(Ruimtestaat[[#This Row],[Code]],Locaties[#All],2,FALSE)</f>
        <v>Losser</v>
      </c>
      <c r="C129" s="247" t="str">
        <f>VLOOKUP(Ruimtestaat[[#This Row],[Code]],Locaties[#All],4,FALSE)</f>
        <v>Oranjestraat 2</v>
      </c>
      <c r="D129" s="247" t="str">
        <f>VLOOKUP(Ruimtestaat[[#This Row],[Code]],Locaties[#All],5,FALSE)</f>
        <v>7607 BJ </v>
      </c>
      <c r="E129" s="187" t="str">
        <f>VLOOKUP(Ruimtestaat[[#This Row],[Code]],Locaties[#All],6,FALSE)</f>
        <v>Losser</v>
      </c>
      <c r="F129" s="248"/>
      <c r="G129" s="246" t="s">
        <v>679</v>
      </c>
      <c r="H129" s="246" t="s">
        <v>511</v>
      </c>
      <c r="I129" s="248" t="s">
        <v>513</v>
      </c>
      <c r="J129" s="187">
        <v>5</v>
      </c>
      <c r="K129" s="187" t="str">
        <f>VLOOKUP(Ruimtestaat[[#This Row],[Ruimte code]],Ruimtegroepen[#All],2,FALSE)</f>
        <v>Sanitair</v>
      </c>
      <c r="L129" s="202" t="s">
        <v>108</v>
      </c>
      <c r="M129" s="249" t="s">
        <v>1206</v>
      </c>
      <c r="N129" s="200">
        <v>1.1000000000000001</v>
      </c>
      <c r="O129" s="190"/>
      <c r="P129" s="231" t="str">
        <f>VLOOKUP(Ruimtestaat[[#This Row],[Ruimte code]],Ruimtegroepen[#All],4,FALSE)</f>
        <v>S  (Sanitair)</v>
      </c>
      <c r="Q129" s="201"/>
      <c r="R129" s="202">
        <v>42</v>
      </c>
      <c r="S129" s="202" t="s">
        <v>2</v>
      </c>
      <c r="T129" s="202">
        <f>IF(R129&gt;0,IF(RIGHT(Ruimtestaat[[#This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29" s="202">
        <f>IF(T129&gt;0,VLOOKUP($J129,Ruimtegroepen[],3,FALSE)*VLOOKUP($L129,Vloersoorten[],3,FALSE)*VLOOKUP($S129,Frequenties[],3,FALSE)*VLOOKUP($A129,Locaties[],3,FALSE),0)</f>
        <v>0</v>
      </c>
      <c r="V129" s="202">
        <f>Ruimtestaat[[#This Row],[Uitvoeringen werkdagen]]*Ruimtestaat[[#This Row],[Oppervlak (netto)]]</f>
        <v>231.00000000000003</v>
      </c>
      <c r="W129" s="242">
        <f>IF(U129&gt;0,Ruimtestaat[[#This Row],[Prest. (m2 /jaar) werkdagen]]/Ruimtestaat[[#This Row],[Norm (m2/uur) werkdagen]],0)</f>
        <v>0</v>
      </c>
      <c r="X129" s="243">
        <f>Ruimtestaat[[#This Row],[uren / jaar werkdagen]]*Tariefsopbouw!$D$38</f>
        <v>0</v>
      </c>
      <c r="Y129" s="33"/>
      <c r="Z129" s="33">
        <f>IF(Ruimtestaat[[#This Row],[Frequentie weekend]]&gt;0,VALUE(LEFT(Y129,1))*R129,0)</f>
        <v>0</v>
      </c>
      <c r="AA129" s="33">
        <f>IF($Z129&gt;0,VLOOKUP($J129,Ruimtegroepen[],3,FALSE)*VLOOKUP($L129,Vloersoorten[],3,FALSE)*VLOOKUP($Y129,Frequenties[],3,FALSE)*VLOOKUP(#REF!,Locaties[],3,FALSE),0)</f>
        <v>0</v>
      </c>
      <c r="AB129" s="33"/>
      <c r="AC129" s="33"/>
      <c r="AD129" s="33">
        <f>Ruimtestaat[[#This Row],[uren / jaar weekend]]*Tariefsopbouw!$D$40</f>
        <v>0</v>
      </c>
      <c r="AE129" s="86">
        <f>Ruimtestaat[[#This Row],[Prest. (m2 /jaar) weekend]]+Ruimtestaat[[#This Row],[Prest. (m2 /jaar) werkdagen]]</f>
        <v>231.00000000000003</v>
      </c>
      <c r="AF129" s="86">
        <f>Ruimtestaat[[#This Row],[uren / jaar weekend]]+Ruimtestaat[[#This Row],[uren / jaar werkdagen]]</f>
        <v>0</v>
      </c>
      <c r="AG129" s="87">
        <f>Ruimtestaat[[#This Row],[kosten / jaar weekend]]+Ruimtestaat[[#This Row],[kosten / jaar werkdagen]]</f>
        <v>0</v>
      </c>
    </row>
    <row r="130" spans="1:219" ht="15" customHeight="1">
      <c r="A130" s="246">
        <v>2</v>
      </c>
      <c r="B130" s="21" t="str">
        <f>VLOOKUP(Ruimtestaat[[#This Row],[Code]],Locaties[#All],2,FALSE)</f>
        <v>Losser</v>
      </c>
      <c r="C130" s="247" t="str">
        <f>VLOOKUP(Ruimtestaat[[#This Row],[Code]],Locaties[#All],4,FALSE)</f>
        <v>Oranjestraat 2</v>
      </c>
      <c r="D130" s="247" t="str">
        <f>VLOOKUP(Ruimtestaat[[#This Row],[Code]],Locaties[#All],5,FALSE)</f>
        <v>7607 BJ </v>
      </c>
      <c r="E130" s="187" t="str">
        <f>VLOOKUP(Ruimtestaat[[#This Row],[Code]],Locaties[#All],6,FALSE)</f>
        <v>Losser</v>
      </c>
      <c r="F130" s="248"/>
      <c r="G130" s="246" t="s">
        <v>679</v>
      </c>
      <c r="H130" s="246" t="s">
        <v>512</v>
      </c>
      <c r="I130" s="248" t="s">
        <v>719</v>
      </c>
      <c r="J130" s="247">
        <v>5</v>
      </c>
      <c r="K130" s="247" t="str">
        <f>VLOOKUP(Ruimtestaat[[#This Row],[Ruimte code]],Ruimtegroepen[#All],2,FALSE)</f>
        <v>Sanitair</v>
      </c>
      <c r="L130" s="202" t="s">
        <v>108</v>
      </c>
      <c r="M130" s="249" t="s">
        <v>1206</v>
      </c>
      <c r="N130" s="200">
        <v>4.9000000000000004</v>
      </c>
      <c r="O130" s="190"/>
      <c r="P130" s="231" t="str">
        <f>VLOOKUP(Ruimtestaat[[#This Row],[Ruimte code]],Ruimtegroepen[#All],4,FALSE)</f>
        <v>S  (Sanitair)</v>
      </c>
      <c r="Q130" s="201"/>
      <c r="R130" s="202">
        <v>42</v>
      </c>
      <c r="S130" s="202" t="s">
        <v>2</v>
      </c>
      <c r="T130" s="202">
        <f>IF(R130&gt;0,IF(RIGHT(Ruimtestaat[[#This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30" s="202">
        <f>IF(T130&gt;0,VLOOKUP($J130,Ruimtegroepen[],3,FALSE)*VLOOKUP($L130,Vloersoorten[],3,FALSE)*VLOOKUP($S130,Frequenties[],3,FALSE)*VLOOKUP($A130,Locaties[],3,FALSE),0)</f>
        <v>0</v>
      </c>
      <c r="V130" s="202">
        <f>Ruimtestaat[[#This Row],[Uitvoeringen werkdagen]]*Ruimtestaat[[#This Row],[Oppervlak (netto)]]</f>
        <v>1029</v>
      </c>
      <c r="W130" s="242">
        <f>IF(U130&gt;0,Ruimtestaat[[#This Row],[Prest. (m2 /jaar) werkdagen]]/Ruimtestaat[[#This Row],[Norm (m2/uur) werkdagen]],0)</f>
        <v>0</v>
      </c>
      <c r="X130" s="243">
        <f>Ruimtestaat[[#This Row],[uren / jaar werkdagen]]*Tariefsopbouw!$D$38</f>
        <v>0</v>
      </c>
      <c r="Y130" s="33"/>
      <c r="Z130" s="33">
        <f>IF(Ruimtestaat[[#This Row],[Frequentie weekend]]&gt;0,VALUE(LEFT(Y130,1))*R130,0)</f>
        <v>0</v>
      </c>
      <c r="AA130" s="33">
        <f>IF($Z130&gt;0,VLOOKUP($J130,Ruimtegroepen[],3,FALSE)*VLOOKUP($L130,Vloersoorten[],3,FALSE)*VLOOKUP($Y130,Frequenties[],3,FALSE)*VLOOKUP(#REF!,Locaties[],3,FALSE),0)</f>
        <v>0</v>
      </c>
      <c r="AB130" s="33"/>
      <c r="AC130" s="33"/>
      <c r="AD130" s="33">
        <f>Ruimtestaat[[#This Row],[uren / jaar weekend]]*Tariefsopbouw!$D$40</f>
        <v>0</v>
      </c>
      <c r="AE130" s="86">
        <f>Ruimtestaat[[#This Row],[Prest. (m2 /jaar) weekend]]+Ruimtestaat[[#This Row],[Prest. (m2 /jaar) werkdagen]]</f>
        <v>1029</v>
      </c>
      <c r="AF130" s="86">
        <f>Ruimtestaat[[#This Row],[uren / jaar weekend]]+Ruimtestaat[[#This Row],[uren / jaar werkdagen]]</f>
        <v>0</v>
      </c>
      <c r="AG130" s="87">
        <f>Ruimtestaat[[#This Row],[kosten / jaar weekend]]+Ruimtestaat[[#This Row],[kosten / jaar werkdagen]]</f>
        <v>0</v>
      </c>
    </row>
    <row r="131" spans="1:219" ht="15" customHeight="1">
      <c r="A131" s="246">
        <v>2</v>
      </c>
      <c r="B131" s="21" t="str">
        <f>VLOOKUP(Ruimtestaat[[#This Row],[Code]],Locaties[#All],2,FALSE)</f>
        <v>Losser</v>
      </c>
      <c r="C131" s="247" t="str">
        <f>VLOOKUP(Ruimtestaat[[#This Row],[Code]],Locaties[#All],4,FALSE)</f>
        <v>Oranjestraat 2</v>
      </c>
      <c r="D131" s="247" t="str">
        <f>VLOOKUP(Ruimtestaat[[#This Row],[Code]],Locaties[#All],5,FALSE)</f>
        <v>7607 BJ </v>
      </c>
      <c r="E131" s="187" t="str">
        <f>VLOOKUP(Ruimtestaat[[#This Row],[Code]],Locaties[#All],6,FALSE)</f>
        <v>Losser</v>
      </c>
      <c r="F131" s="248"/>
      <c r="G131" s="246" t="s">
        <v>679</v>
      </c>
      <c r="H131" s="246" t="s">
        <v>514</v>
      </c>
      <c r="I131" s="248" t="s">
        <v>1161</v>
      </c>
      <c r="J131" s="187">
        <v>5</v>
      </c>
      <c r="K131" s="187" t="str">
        <f>VLOOKUP(Ruimtestaat[[#This Row],[Ruimte code]],Ruimtegroepen[#All],2,FALSE)</f>
        <v>Sanitair</v>
      </c>
      <c r="L131" s="202" t="s">
        <v>108</v>
      </c>
      <c r="M131" s="249" t="s">
        <v>1206</v>
      </c>
      <c r="N131" s="200">
        <v>6.7</v>
      </c>
      <c r="O131" s="190"/>
      <c r="P131" s="231" t="str">
        <f>VLOOKUP(Ruimtestaat[[#This Row],[Ruimte code]],Ruimtegroepen[#All],4,FALSE)</f>
        <v>S  (Sanitair)</v>
      </c>
      <c r="Q131" s="201"/>
      <c r="R131" s="202">
        <v>42</v>
      </c>
      <c r="S131" s="202" t="s">
        <v>2</v>
      </c>
      <c r="T131" s="202">
        <f>IF(R131&gt;0,IF(RIGHT(Ruimtestaat[[#This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31" s="202">
        <f>IF(T131&gt;0,VLOOKUP($J131,Ruimtegroepen[],3,FALSE)*VLOOKUP($L131,Vloersoorten[],3,FALSE)*VLOOKUP($S131,Frequenties[],3,FALSE)*VLOOKUP($A131,Locaties[],3,FALSE),0)</f>
        <v>0</v>
      </c>
      <c r="V131" s="202">
        <f>Ruimtestaat[[#This Row],[Uitvoeringen werkdagen]]*Ruimtestaat[[#This Row],[Oppervlak (netto)]]</f>
        <v>1407</v>
      </c>
      <c r="W131" s="242">
        <f>IF(U131&gt;0,Ruimtestaat[[#This Row],[Prest. (m2 /jaar) werkdagen]]/Ruimtestaat[[#This Row],[Norm (m2/uur) werkdagen]],0)</f>
        <v>0</v>
      </c>
      <c r="X131" s="243">
        <f>Ruimtestaat[[#This Row],[uren / jaar werkdagen]]*Tariefsopbouw!$D$38</f>
        <v>0</v>
      </c>
      <c r="Y131" s="33"/>
      <c r="Z131" s="33">
        <f>IF(Ruimtestaat[[#This Row],[Frequentie weekend]]&gt;0,VALUE(LEFT(Y131,1))*R131,0)</f>
        <v>0</v>
      </c>
      <c r="AA131" s="33">
        <f>IF($Z131&gt;0,VLOOKUP($J131,Ruimtegroepen[],3,FALSE)*VLOOKUP($L131,Vloersoorten[],3,FALSE)*VLOOKUP($Y131,Frequenties[],3,FALSE)*VLOOKUP(#REF!,Locaties[],3,FALSE),0)</f>
        <v>0</v>
      </c>
      <c r="AB131" s="33"/>
      <c r="AC131" s="33"/>
      <c r="AD131" s="33">
        <f>Ruimtestaat[[#This Row],[uren / jaar weekend]]*Tariefsopbouw!$D$40</f>
        <v>0</v>
      </c>
      <c r="AE131" s="86">
        <f>Ruimtestaat[[#This Row],[Prest. (m2 /jaar) weekend]]+Ruimtestaat[[#This Row],[Prest. (m2 /jaar) werkdagen]]</f>
        <v>1407</v>
      </c>
      <c r="AF131" s="86">
        <f>Ruimtestaat[[#This Row],[uren / jaar weekend]]+Ruimtestaat[[#This Row],[uren / jaar werkdagen]]</f>
        <v>0</v>
      </c>
      <c r="AG131" s="87">
        <f>Ruimtestaat[[#This Row],[kosten / jaar weekend]]+Ruimtestaat[[#This Row],[kosten / jaar werkdagen]]</f>
        <v>0</v>
      </c>
    </row>
    <row r="132" spans="1:219" ht="15" customHeight="1">
      <c r="A132" s="246">
        <v>2</v>
      </c>
      <c r="B132" s="21" t="str">
        <f>VLOOKUP(Ruimtestaat[[#This Row],[Code]],Locaties[#All],2,FALSE)</f>
        <v>Losser</v>
      </c>
      <c r="C132" s="247" t="str">
        <f>VLOOKUP(Ruimtestaat[[#This Row],[Code]],Locaties[#All],4,FALSE)</f>
        <v>Oranjestraat 2</v>
      </c>
      <c r="D132" s="247" t="str">
        <f>VLOOKUP(Ruimtestaat[[#This Row],[Code]],Locaties[#All],5,FALSE)</f>
        <v>7607 BJ </v>
      </c>
      <c r="E132" s="187" t="str">
        <f>VLOOKUP(Ruimtestaat[[#This Row],[Code]],Locaties[#All],6,FALSE)</f>
        <v>Losser</v>
      </c>
      <c r="F132" s="248"/>
      <c r="G132" s="246" t="s">
        <v>679</v>
      </c>
      <c r="H132" s="246" t="s">
        <v>516</v>
      </c>
      <c r="I132" s="248" t="s">
        <v>515</v>
      </c>
      <c r="J132" s="247">
        <v>5</v>
      </c>
      <c r="K132" s="247" t="str">
        <f>VLOOKUP(Ruimtestaat[[#This Row],[Ruimte code]],Ruimtegroepen[#All],2,FALSE)</f>
        <v>Sanitair</v>
      </c>
      <c r="L132" s="202" t="s">
        <v>108</v>
      </c>
      <c r="M132" s="249" t="s">
        <v>1206</v>
      </c>
      <c r="N132" s="200">
        <v>1.1000000000000001</v>
      </c>
      <c r="O132" s="190"/>
      <c r="P132" s="231" t="str">
        <f>VLOOKUP(Ruimtestaat[[#This Row],[Ruimte code]],Ruimtegroepen[#All],4,FALSE)</f>
        <v>S  (Sanitair)</v>
      </c>
      <c r="Q132" s="201"/>
      <c r="R132" s="202">
        <v>42</v>
      </c>
      <c r="S132" s="202" t="s">
        <v>2</v>
      </c>
      <c r="T132" s="202">
        <f>IF(R132&gt;0,IF(RIGHT(Ruimtestaat[[#This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32" s="202">
        <f>IF(T132&gt;0,VLOOKUP($J132,Ruimtegroepen[],3,FALSE)*VLOOKUP($L132,Vloersoorten[],3,FALSE)*VLOOKUP($S132,Frequenties[],3,FALSE)*VLOOKUP($A132,Locaties[],3,FALSE),0)</f>
        <v>0</v>
      </c>
      <c r="V132" s="202">
        <f>Ruimtestaat[[#This Row],[Uitvoeringen werkdagen]]*Ruimtestaat[[#This Row],[Oppervlak (netto)]]</f>
        <v>231.00000000000003</v>
      </c>
      <c r="W132" s="242">
        <f>IF(U132&gt;0,Ruimtestaat[[#This Row],[Prest. (m2 /jaar) werkdagen]]/Ruimtestaat[[#This Row],[Norm (m2/uur) werkdagen]],0)</f>
        <v>0</v>
      </c>
      <c r="X132" s="243">
        <f>Ruimtestaat[[#This Row],[uren / jaar werkdagen]]*Tariefsopbouw!$D$38</f>
        <v>0</v>
      </c>
      <c r="Y132" s="33"/>
      <c r="Z132" s="33">
        <f>IF(Ruimtestaat[[#This Row],[Frequentie weekend]]&gt;0,VALUE(LEFT(Y132,1))*R132,0)</f>
        <v>0</v>
      </c>
      <c r="AA132" s="33">
        <f>IF($Z132&gt;0,VLOOKUP($J132,Ruimtegroepen[],3,FALSE)*VLOOKUP($L132,Vloersoorten[],3,FALSE)*VLOOKUP($Y132,Frequenties[],3,FALSE)*VLOOKUP(#REF!,Locaties[],3,FALSE),0)</f>
        <v>0</v>
      </c>
      <c r="AB132" s="33"/>
      <c r="AC132" s="33"/>
      <c r="AD132" s="33">
        <f>Ruimtestaat[[#This Row],[uren / jaar weekend]]*Tariefsopbouw!$D$40</f>
        <v>0</v>
      </c>
      <c r="AE132" s="86">
        <f>Ruimtestaat[[#This Row],[Prest. (m2 /jaar) weekend]]+Ruimtestaat[[#This Row],[Prest. (m2 /jaar) werkdagen]]</f>
        <v>231.00000000000003</v>
      </c>
      <c r="AF132" s="86">
        <f>Ruimtestaat[[#This Row],[uren / jaar weekend]]+Ruimtestaat[[#This Row],[uren / jaar werkdagen]]</f>
        <v>0</v>
      </c>
      <c r="AG132" s="87">
        <f>Ruimtestaat[[#This Row],[kosten / jaar weekend]]+Ruimtestaat[[#This Row],[kosten / jaar werkdagen]]</f>
        <v>0</v>
      </c>
    </row>
    <row r="133" spans="1:219" ht="15" customHeight="1">
      <c r="A133" s="246">
        <v>2</v>
      </c>
      <c r="B133" s="21" t="str">
        <f>VLOOKUP(Ruimtestaat[[#This Row],[Code]],Locaties[#All],2,FALSE)</f>
        <v>Losser</v>
      </c>
      <c r="C133" s="247" t="str">
        <f>VLOOKUP(Ruimtestaat[[#This Row],[Code]],Locaties[#All],4,FALSE)</f>
        <v>Oranjestraat 2</v>
      </c>
      <c r="D133" s="247" t="str">
        <f>VLOOKUP(Ruimtestaat[[#This Row],[Code]],Locaties[#All],5,FALSE)</f>
        <v>7607 BJ </v>
      </c>
      <c r="E133" s="187" t="str">
        <f>VLOOKUP(Ruimtestaat[[#This Row],[Code]],Locaties[#All],6,FALSE)</f>
        <v>Losser</v>
      </c>
      <c r="F133" s="248"/>
      <c r="G133" s="246" t="s">
        <v>679</v>
      </c>
      <c r="H133" s="246" t="s">
        <v>517</v>
      </c>
      <c r="I133" s="248" t="s">
        <v>1162</v>
      </c>
      <c r="J133" s="187">
        <v>16</v>
      </c>
      <c r="K133" s="187" t="str">
        <f>VLOOKUP(Ruimtestaat[[#This Row],[Ruimte code]],Ruimtegroepen[#All],2,FALSE)</f>
        <v>Leslokalen/computerlokaal</v>
      </c>
      <c r="L133" s="187" t="s">
        <v>109</v>
      </c>
      <c r="M133" s="249" t="s">
        <v>1203</v>
      </c>
      <c r="N133" s="200">
        <v>42</v>
      </c>
      <c r="O133" s="190"/>
      <c r="P133" s="231" t="str">
        <f>VLOOKUP(Ruimtestaat[[#This Row],[Ruimte code]],Ruimtegroepen[#All],4,FALSE)</f>
        <v>L  (Lesruimte)</v>
      </c>
      <c r="Q133" s="201"/>
      <c r="R133" s="202">
        <v>42</v>
      </c>
      <c r="S133" s="202" t="s">
        <v>2</v>
      </c>
      <c r="T133" s="202">
        <f>IF(R133&gt;0,IF(RIGHT(Ruimtestaat[[#This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33" s="202">
        <f>IF(T133&gt;0,VLOOKUP($J133,Ruimtegroepen[],3,FALSE)*VLOOKUP($L133,Vloersoorten[],3,FALSE)*VLOOKUP($S133,Frequenties[],3,FALSE)*VLOOKUP($A133,Locaties[],3,FALSE),0)</f>
        <v>0</v>
      </c>
      <c r="V133" s="202">
        <f>Ruimtestaat[[#This Row],[Uitvoeringen werkdagen]]*Ruimtestaat[[#This Row],[Oppervlak (netto)]]</f>
        <v>8820</v>
      </c>
      <c r="W133" s="242">
        <f>IF(U133&gt;0,Ruimtestaat[[#This Row],[Prest. (m2 /jaar) werkdagen]]/Ruimtestaat[[#This Row],[Norm (m2/uur) werkdagen]],0)</f>
        <v>0</v>
      </c>
      <c r="X133" s="243">
        <f>Ruimtestaat[[#This Row],[uren / jaar werkdagen]]*Tariefsopbouw!$D$38</f>
        <v>0</v>
      </c>
      <c r="Y133" s="33"/>
      <c r="Z133" s="33">
        <f>IF(Ruimtestaat[[#This Row],[Frequentie weekend]]&gt;0,VALUE(LEFT(Y133,1))*R133,0)</f>
        <v>0</v>
      </c>
      <c r="AA133" s="33">
        <f>IF($Z133&gt;0,VLOOKUP($J133,Ruimtegroepen[],3,FALSE)*VLOOKUP($L133,Vloersoorten[],3,FALSE)*VLOOKUP($Y133,Frequenties[],3,FALSE)*VLOOKUP(#REF!,Locaties[],3,FALSE),0)</f>
        <v>0</v>
      </c>
      <c r="AB133" s="33"/>
      <c r="AC133" s="33"/>
      <c r="AD133" s="33">
        <f>Ruimtestaat[[#This Row],[uren / jaar weekend]]*Tariefsopbouw!$D$40</f>
        <v>0</v>
      </c>
      <c r="AE133" s="86">
        <f>Ruimtestaat[[#This Row],[Prest. (m2 /jaar) weekend]]+Ruimtestaat[[#This Row],[Prest. (m2 /jaar) werkdagen]]</f>
        <v>8820</v>
      </c>
      <c r="AF133" s="86">
        <f>Ruimtestaat[[#This Row],[uren / jaar weekend]]+Ruimtestaat[[#This Row],[uren / jaar werkdagen]]</f>
        <v>0</v>
      </c>
      <c r="AG133" s="87">
        <f>Ruimtestaat[[#This Row],[kosten / jaar weekend]]+Ruimtestaat[[#This Row],[kosten / jaar werkdagen]]</f>
        <v>0</v>
      </c>
    </row>
    <row r="134" spans="1:219" ht="15" customHeight="1">
      <c r="A134" s="246">
        <v>2</v>
      </c>
      <c r="B134" s="21" t="str">
        <f>VLOOKUP(Ruimtestaat[[#This Row],[Code]],Locaties[#All],2,FALSE)</f>
        <v>Losser</v>
      </c>
      <c r="C134" s="247" t="str">
        <f>VLOOKUP(Ruimtestaat[[#This Row],[Code]],Locaties[#All],4,FALSE)</f>
        <v>Oranjestraat 2</v>
      </c>
      <c r="D134" s="247" t="str">
        <f>VLOOKUP(Ruimtestaat[[#This Row],[Code]],Locaties[#All],5,FALSE)</f>
        <v>7607 BJ </v>
      </c>
      <c r="E134" s="187" t="str">
        <f>VLOOKUP(Ruimtestaat[[#This Row],[Code]],Locaties[#All],6,FALSE)</f>
        <v>Losser</v>
      </c>
      <c r="F134" s="248"/>
      <c r="G134" s="246" t="s">
        <v>679</v>
      </c>
      <c r="H134" s="246" t="s">
        <v>518</v>
      </c>
      <c r="I134" s="248" t="s">
        <v>553</v>
      </c>
      <c r="J134" s="187">
        <v>20</v>
      </c>
      <c r="K134" s="187" t="str">
        <f>VLOOKUP(Ruimtestaat[[#This Row],[Ruimte code]],Ruimtegroepen[#All],2,FALSE)</f>
        <v>Niet in onderhoud</v>
      </c>
      <c r="L134" s="202" t="s">
        <v>108</v>
      </c>
      <c r="M134" s="249" t="s">
        <v>1206</v>
      </c>
      <c r="N134" s="200"/>
      <c r="O134" s="190">
        <v>8.5</v>
      </c>
      <c r="P134" s="231" t="str">
        <f>VLOOKUP(Ruimtestaat[[#This Row],[Ruimte code]],Ruimtegroepen[#All],4,FALSE)</f>
        <v>V  (Verkeersruimte)</v>
      </c>
      <c r="Q134" s="201"/>
      <c r="R134" s="202"/>
      <c r="S134" s="202"/>
      <c r="T134" s="202">
        <f>IF(R134&gt;0,IF(RIGHT(Ruimtestaat[[#This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134" s="202">
        <f>IF(T134&gt;0,VLOOKUP($J134,Ruimtegroepen[],3,FALSE)*VLOOKUP($L134,Vloersoorten[],3,FALSE)*VLOOKUP($S134,Frequenties[],3,FALSE)*VLOOKUP($A134,Locaties[],3,FALSE),0)</f>
        <v>0</v>
      </c>
      <c r="V134" s="202">
        <f>Ruimtestaat[[#This Row],[Uitvoeringen werkdagen]]*Ruimtestaat[[#This Row],[Oppervlak (netto)]]</f>
        <v>0</v>
      </c>
      <c r="W134" s="242">
        <f>IF(U134&gt;0,Ruimtestaat[[#This Row],[Prest. (m2 /jaar) werkdagen]]/Ruimtestaat[[#This Row],[Norm (m2/uur) werkdagen]],0)</f>
        <v>0</v>
      </c>
      <c r="X134" s="243">
        <f>Ruimtestaat[[#This Row],[uren / jaar werkdagen]]*Tariefsopbouw!$D$38</f>
        <v>0</v>
      </c>
      <c r="Y134" s="33"/>
      <c r="Z134" s="33">
        <f>IF(Ruimtestaat[[#This Row],[Frequentie weekend]]&gt;0,VALUE(LEFT(Y134,1))*R134,0)</f>
        <v>0</v>
      </c>
      <c r="AA134" s="33">
        <f>IF($Z134&gt;0,VLOOKUP($J134,Ruimtegroepen[],3,FALSE)*VLOOKUP($L134,Vloersoorten[],3,FALSE)*VLOOKUP($Y134,Frequenties[],3,FALSE)*VLOOKUP(#REF!,Locaties[],3,FALSE),0)</f>
        <v>0</v>
      </c>
      <c r="AB134" s="33"/>
      <c r="AC134" s="33"/>
      <c r="AD134" s="33">
        <f>Ruimtestaat[[#This Row],[uren / jaar weekend]]*Tariefsopbouw!$D$40</f>
        <v>0</v>
      </c>
      <c r="AE134" s="86">
        <f>Ruimtestaat[[#This Row],[Prest. (m2 /jaar) weekend]]+Ruimtestaat[[#This Row],[Prest. (m2 /jaar) werkdagen]]</f>
        <v>0</v>
      </c>
      <c r="AF134" s="86">
        <f>Ruimtestaat[[#This Row],[uren / jaar weekend]]+Ruimtestaat[[#This Row],[uren / jaar werkdagen]]</f>
        <v>0</v>
      </c>
      <c r="AG134" s="87">
        <f>Ruimtestaat[[#This Row],[kosten / jaar weekend]]+Ruimtestaat[[#This Row],[kosten / jaar werkdagen]]</f>
        <v>0</v>
      </c>
    </row>
    <row r="135" spans="1:219" ht="15" customHeight="1">
      <c r="A135" s="246">
        <v>2</v>
      </c>
      <c r="B135" s="21" t="str">
        <f>VLOOKUP(Ruimtestaat[[#This Row],[Code]],Locaties[#All],2,FALSE)</f>
        <v>Losser</v>
      </c>
      <c r="C135" s="247" t="str">
        <f>VLOOKUP(Ruimtestaat[[#This Row],[Code]],Locaties[#All],4,FALSE)</f>
        <v>Oranjestraat 2</v>
      </c>
      <c r="D135" s="247" t="str">
        <f>VLOOKUP(Ruimtestaat[[#This Row],[Code]],Locaties[#All],5,FALSE)</f>
        <v>7607 BJ </v>
      </c>
      <c r="E135" s="187" t="str">
        <f>VLOOKUP(Ruimtestaat[[#This Row],[Code]],Locaties[#All],6,FALSE)</f>
        <v>Losser</v>
      </c>
      <c r="F135" s="248"/>
      <c r="G135" s="246" t="s">
        <v>679</v>
      </c>
      <c r="H135" s="246" t="s">
        <v>519</v>
      </c>
      <c r="I135" s="248" t="s">
        <v>1163</v>
      </c>
      <c r="J135" s="187">
        <v>6</v>
      </c>
      <c r="K135" s="187" t="str">
        <f>VLOOKUP(Ruimtestaat[[#This Row],[Ruimte code]],Ruimtegroepen[#All],2,FALSE)</f>
        <v>Gangen/hallen</v>
      </c>
      <c r="L135" s="187" t="s">
        <v>109</v>
      </c>
      <c r="M135" s="249" t="s">
        <v>1203</v>
      </c>
      <c r="N135" s="200">
        <v>3.2</v>
      </c>
      <c r="O135" s="190"/>
      <c r="P135" s="231" t="str">
        <f>VLOOKUP(Ruimtestaat[[#This Row],[Ruimte code]],Ruimtegroepen[#All],4,FALSE)</f>
        <v>V  (Verkeersruimte)</v>
      </c>
      <c r="Q135" s="201"/>
      <c r="R135" s="202">
        <v>42</v>
      </c>
      <c r="S135" s="202" t="s">
        <v>2</v>
      </c>
      <c r="T135" s="202">
        <f>IF(R135&gt;0,IF(RIGHT(Ruimtestaat[[#This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35" s="202">
        <f>IF(T135&gt;0,VLOOKUP($J135,Ruimtegroepen[],3,FALSE)*VLOOKUP($L135,Vloersoorten[],3,FALSE)*VLOOKUP($S135,Frequenties[],3,FALSE)*VLOOKUP($A135,Locaties[],3,FALSE),0)</f>
        <v>0</v>
      </c>
      <c r="V135" s="202">
        <f>Ruimtestaat[[#This Row],[Uitvoeringen werkdagen]]*Ruimtestaat[[#This Row],[Oppervlak (netto)]]</f>
        <v>672</v>
      </c>
      <c r="W135" s="242">
        <f>IF(U135&gt;0,Ruimtestaat[[#This Row],[Prest. (m2 /jaar) werkdagen]]/Ruimtestaat[[#This Row],[Norm (m2/uur) werkdagen]],0)</f>
        <v>0</v>
      </c>
      <c r="X135" s="243">
        <f>Ruimtestaat[[#This Row],[uren / jaar werkdagen]]*Tariefsopbouw!$D$38</f>
        <v>0</v>
      </c>
      <c r="Y135" s="33"/>
      <c r="Z135" s="33">
        <f>IF(Ruimtestaat[[#This Row],[Frequentie weekend]]&gt;0,VALUE(LEFT(Y135,1))*R135,0)</f>
        <v>0</v>
      </c>
      <c r="AA135" s="33">
        <f>IF($Z135&gt;0,VLOOKUP($J135,Ruimtegroepen[],3,FALSE)*VLOOKUP($L135,Vloersoorten[],3,FALSE)*VLOOKUP($Y135,Frequenties[],3,FALSE)*VLOOKUP(#REF!,Locaties[],3,FALSE),0)</f>
        <v>0</v>
      </c>
      <c r="AB135" s="33"/>
      <c r="AC135" s="33"/>
      <c r="AD135" s="33">
        <f>Ruimtestaat[[#This Row],[uren / jaar weekend]]*Tariefsopbouw!$D$40</f>
        <v>0</v>
      </c>
      <c r="AE135" s="86">
        <f>Ruimtestaat[[#This Row],[Prest. (m2 /jaar) weekend]]+Ruimtestaat[[#This Row],[Prest. (m2 /jaar) werkdagen]]</f>
        <v>672</v>
      </c>
      <c r="AF135" s="86">
        <f>Ruimtestaat[[#This Row],[uren / jaar weekend]]+Ruimtestaat[[#This Row],[uren / jaar werkdagen]]</f>
        <v>0</v>
      </c>
      <c r="AG135" s="87">
        <f>Ruimtestaat[[#This Row],[kosten / jaar weekend]]+Ruimtestaat[[#This Row],[kosten / jaar werkdagen]]</f>
        <v>0</v>
      </c>
    </row>
    <row r="136" spans="1:219" ht="15" customHeight="1">
      <c r="A136" s="246">
        <v>2</v>
      </c>
      <c r="B136" s="21" t="str">
        <f>VLOOKUP(Ruimtestaat[[#This Row],[Code]],Locaties[#All],2,FALSE)</f>
        <v>Losser</v>
      </c>
      <c r="C136" s="247" t="str">
        <f>VLOOKUP(Ruimtestaat[[#This Row],[Code]],Locaties[#All],4,FALSE)</f>
        <v>Oranjestraat 2</v>
      </c>
      <c r="D136" s="247" t="str">
        <f>VLOOKUP(Ruimtestaat[[#This Row],[Code]],Locaties[#All],5,FALSE)</f>
        <v>7607 BJ </v>
      </c>
      <c r="E136" s="187" t="str">
        <f>VLOOKUP(Ruimtestaat[[#This Row],[Code]],Locaties[#All],6,FALSE)</f>
        <v>Losser</v>
      </c>
      <c r="F136" s="248"/>
      <c r="G136" s="246" t="s">
        <v>679</v>
      </c>
      <c r="H136" s="246" t="s">
        <v>520</v>
      </c>
      <c r="I136" s="248" t="s">
        <v>521</v>
      </c>
      <c r="J136" s="187">
        <v>13</v>
      </c>
      <c r="K136" s="187" t="str">
        <f>VLOOKUP(Ruimtestaat[[#This Row],[Ruimte code]],Ruimtegroepen[#All],2,FALSE)</f>
        <v>Personeelskamer</v>
      </c>
      <c r="L136" s="187" t="s">
        <v>109</v>
      </c>
      <c r="M136" s="249" t="s">
        <v>1203</v>
      </c>
      <c r="N136" s="200">
        <v>63.7</v>
      </c>
      <c r="O136" s="190"/>
      <c r="P136" s="231" t="str">
        <f>VLOOKUP(Ruimtestaat[[#This Row],[Ruimte code]],Ruimtegroepen[#All],4,FALSE)</f>
        <v>V  (Verkeersruimte)</v>
      </c>
      <c r="Q136" s="201"/>
      <c r="R136" s="202">
        <v>42</v>
      </c>
      <c r="S136" s="202" t="s">
        <v>2</v>
      </c>
      <c r="T136" s="202">
        <f>IF(R136&gt;0,IF(RIGHT(Ruimtestaat[[#This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36" s="202">
        <f>IF(T136&gt;0,VLOOKUP($J136,Ruimtegroepen[],3,FALSE)*VLOOKUP($L136,Vloersoorten[],3,FALSE)*VLOOKUP($S136,Frequenties[],3,FALSE)*VLOOKUP($A136,Locaties[],3,FALSE),0)</f>
        <v>0</v>
      </c>
      <c r="V136" s="202">
        <f>Ruimtestaat[[#This Row],[Uitvoeringen werkdagen]]*Ruimtestaat[[#This Row],[Oppervlak (netto)]]</f>
        <v>13377</v>
      </c>
      <c r="W136" s="242">
        <f>IF(U136&gt;0,Ruimtestaat[[#This Row],[Prest. (m2 /jaar) werkdagen]]/Ruimtestaat[[#This Row],[Norm (m2/uur) werkdagen]],0)</f>
        <v>0</v>
      </c>
      <c r="X136" s="243">
        <f>Ruimtestaat[[#This Row],[uren / jaar werkdagen]]*Tariefsopbouw!$D$38</f>
        <v>0</v>
      </c>
      <c r="Y136" s="33"/>
      <c r="Z136" s="33">
        <f>IF(Ruimtestaat[[#This Row],[Frequentie weekend]]&gt;0,VALUE(LEFT(Y136,1))*R136,0)</f>
        <v>0</v>
      </c>
      <c r="AA136" s="33">
        <f>IF($Z136&gt;0,VLOOKUP($J136,Ruimtegroepen[],3,FALSE)*VLOOKUP($L136,Vloersoorten[],3,FALSE)*VLOOKUP($Y136,Frequenties[],3,FALSE)*VLOOKUP(#REF!,Locaties[],3,FALSE),0)</f>
        <v>0</v>
      </c>
      <c r="AB136" s="33"/>
      <c r="AC136" s="33"/>
      <c r="AD136" s="33">
        <f>Ruimtestaat[[#This Row],[uren / jaar weekend]]*Tariefsopbouw!$D$40</f>
        <v>0</v>
      </c>
      <c r="AE136" s="86">
        <f>Ruimtestaat[[#This Row],[Prest. (m2 /jaar) weekend]]+Ruimtestaat[[#This Row],[Prest. (m2 /jaar) werkdagen]]</f>
        <v>13377</v>
      </c>
      <c r="AF136" s="86">
        <f>Ruimtestaat[[#This Row],[uren / jaar weekend]]+Ruimtestaat[[#This Row],[uren / jaar werkdagen]]</f>
        <v>0</v>
      </c>
      <c r="AG136" s="87">
        <f>Ruimtestaat[[#This Row],[kosten / jaar weekend]]+Ruimtestaat[[#This Row],[kosten / jaar werkdagen]]</f>
        <v>0</v>
      </c>
    </row>
    <row r="137" spans="1:219" ht="15" customHeight="1">
      <c r="A137" s="246">
        <v>2</v>
      </c>
      <c r="B137" s="21" t="str">
        <f>VLOOKUP(Ruimtestaat[[#This Row],[Code]],Locaties[#All],2,FALSE)</f>
        <v>Losser</v>
      </c>
      <c r="C137" s="247" t="str">
        <f>VLOOKUP(Ruimtestaat[[#This Row],[Code]],Locaties[#All],4,FALSE)</f>
        <v>Oranjestraat 2</v>
      </c>
      <c r="D137" s="247" t="str">
        <f>VLOOKUP(Ruimtestaat[[#This Row],[Code]],Locaties[#All],5,FALSE)</f>
        <v>7607 BJ </v>
      </c>
      <c r="E137" s="187" t="str">
        <f>VLOOKUP(Ruimtestaat[[#This Row],[Code]],Locaties[#All],6,FALSE)</f>
        <v>Losser</v>
      </c>
      <c r="F137" s="248"/>
      <c r="G137" s="246" t="s">
        <v>679</v>
      </c>
      <c r="H137" s="246" t="s">
        <v>522</v>
      </c>
      <c r="I137" s="248" t="s">
        <v>523</v>
      </c>
      <c r="J137" s="187">
        <v>1</v>
      </c>
      <c r="K137" s="187" t="str">
        <f>VLOOKUP(Ruimtestaat[[#This Row],[Ruimte code]],Ruimtegroepen[#All],2,FALSE)</f>
        <v>Magazijnen/bergingen</v>
      </c>
      <c r="L137" s="187" t="s">
        <v>109</v>
      </c>
      <c r="M137" s="249" t="s">
        <v>1203</v>
      </c>
      <c r="N137" s="200">
        <v>10.81</v>
      </c>
      <c r="O137" s="190"/>
      <c r="P137" s="231" t="str">
        <f>VLOOKUP(Ruimtestaat[[#This Row],[Ruimte code]],Ruimtegroepen[#All],4,FALSE)</f>
        <v>V  (Verkeersruimte)</v>
      </c>
      <c r="Q137" s="201"/>
      <c r="R137" s="202">
        <v>42</v>
      </c>
      <c r="S137" s="202" t="s">
        <v>15</v>
      </c>
      <c r="T137" s="202">
        <f>IF(R137&gt;0,IF(RIGHT(Ruimtestaat[[#This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137" s="202">
        <f>IF(T137&gt;0,VLOOKUP($J137,Ruimtegroepen[],3,FALSE)*VLOOKUP($L137,Vloersoorten[],3,FALSE)*VLOOKUP($S137,Frequenties[],3,FALSE)*VLOOKUP($A137,Locaties[],3,FALSE),0)</f>
        <v>0</v>
      </c>
      <c r="V137" s="202">
        <f>Ruimtestaat[[#This Row],[Uitvoeringen werkdagen]]*Ruimtestaat[[#This Row],[Oppervlak (netto)]]</f>
        <v>454.02000000000004</v>
      </c>
      <c r="W137" s="242">
        <f>IF(U137&gt;0,Ruimtestaat[[#This Row],[Prest. (m2 /jaar) werkdagen]]/Ruimtestaat[[#This Row],[Norm (m2/uur) werkdagen]],0)</f>
        <v>0</v>
      </c>
      <c r="X137" s="243">
        <f>Ruimtestaat[[#This Row],[uren / jaar werkdagen]]*Tariefsopbouw!$D$38</f>
        <v>0</v>
      </c>
      <c r="Y137" s="33"/>
      <c r="Z137" s="33">
        <f>IF(Ruimtestaat[[#This Row],[Frequentie weekend]]&gt;0,VALUE(LEFT(Y137,1))*R137,0)</f>
        <v>0</v>
      </c>
      <c r="AA137" s="33">
        <f>IF($Z137&gt;0,VLOOKUP($J137,Ruimtegroepen[],3,FALSE)*VLOOKUP($L137,Vloersoorten[],3,FALSE)*VLOOKUP($Y137,Frequenties[],3,FALSE)*VLOOKUP(#REF!,Locaties[],3,FALSE),0)</f>
        <v>0</v>
      </c>
      <c r="AB137" s="33"/>
      <c r="AC137" s="33"/>
      <c r="AD137" s="33">
        <f>Ruimtestaat[[#This Row],[uren / jaar weekend]]*Tariefsopbouw!$D$40</f>
        <v>0</v>
      </c>
      <c r="AE137" s="86">
        <f>Ruimtestaat[[#This Row],[Prest. (m2 /jaar) weekend]]+Ruimtestaat[[#This Row],[Prest. (m2 /jaar) werkdagen]]</f>
        <v>454.02000000000004</v>
      </c>
      <c r="AF137" s="86">
        <f>Ruimtestaat[[#This Row],[uren / jaar weekend]]+Ruimtestaat[[#This Row],[uren / jaar werkdagen]]</f>
        <v>0</v>
      </c>
      <c r="AG137" s="87">
        <f>Ruimtestaat[[#This Row],[kosten / jaar weekend]]+Ruimtestaat[[#This Row],[kosten / jaar werkdagen]]</f>
        <v>0</v>
      </c>
    </row>
    <row r="138" spans="1:219" ht="15" customHeight="1">
      <c r="A138" s="246">
        <v>2</v>
      </c>
      <c r="B138" s="21" t="str">
        <f>VLOOKUP(Ruimtestaat[[#This Row],[Code]],Locaties[#All],2,FALSE)</f>
        <v>Losser</v>
      </c>
      <c r="C138" s="247" t="str">
        <f>VLOOKUP(Ruimtestaat[[#This Row],[Code]],Locaties[#All],4,FALSE)</f>
        <v>Oranjestraat 2</v>
      </c>
      <c r="D138" s="247" t="str">
        <f>VLOOKUP(Ruimtestaat[[#This Row],[Code]],Locaties[#All],5,FALSE)</f>
        <v>7607 BJ </v>
      </c>
      <c r="E138" s="187" t="str">
        <f>VLOOKUP(Ruimtestaat[[#This Row],[Code]],Locaties[#All],6,FALSE)</f>
        <v>Losser</v>
      </c>
      <c r="F138" s="248"/>
      <c r="G138" s="246" t="s">
        <v>679</v>
      </c>
      <c r="H138" s="246" t="s">
        <v>524</v>
      </c>
      <c r="I138" s="248" t="s">
        <v>1159</v>
      </c>
      <c r="J138" s="187">
        <v>2</v>
      </c>
      <c r="K138" s="187" t="str">
        <f>VLOOKUP(Ruimtestaat[[#This Row],[Ruimte code]],Ruimtegroepen[#All],2,FALSE)</f>
        <v>Kantoren/kantoortuin</v>
      </c>
      <c r="L138" s="187" t="s">
        <v>109</v>
      </c>
      <c r="M138" s="249" t="s">
        <v>1203</v>
      </c>
      <c r="N138" s="200">
        <v>30.9</v>
      </c>
      <c r="O138" s="190"/>
      <c r="P138" s="231" t="str">
        <f>VLOOKUP(Ruimtestaat[[#This Row],[Ruimte code]],Ruimtegroepen[#All],4,FALSE)</f>
        <v>B  (Bureauruimte)</v>
      </c>
      <c r="Q138" s="201"/>
      <c r="R138" s="202">
        <v>42</v>
      </c>
      <c r="S138" s="202" t="s">
        <v>2</v>
      </c>
      <c r="T138" s="202">
        <f>IF(R138&gt;0,IF(RIGHT(Ruimtestaat[[#This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38" s="202">
        <f>IF(T138&gt;0,VLOOKUP($J138,Ruimtegroepen[],3,FALSE)*VLOOKUP($L138,Vloersoorten[],3,FALSE)*VLOOKUP($S138,Frequenties[],3,FALSE)*VLOOKUP($A138,Locaties[],3,FALSE),0)</f>
        <v>0</v>
      </c>
      <c r="V138" s="202">
        <f>Ruimtestaat[[#This Row],[Uitvoeringen werkdagen]]*Ruimtestaat[[#This Row],[Oppervlak (netto)]]</f>
        <v>6489</v>
      </c>
      <c r="W138" s="242">
        <f>IF(U138&gt;0,Ruimtestaat[[#This Row],[Prest. (m2 /jaar) werkdagen]]/Ruimtestaat[[#This Row],[Norm (m2/uur) werkdagen]],0)</f>
        <v>0</v>
      </c>
      <c r="X138" s="243">
        <f>Ruimtestaat[[#This Row],[uren / jaar werkdagen]]*Tariefsopbouw!$D$38</f>
        <v>0</v>
      </c>
      <c r="Y138" s="33"/>
      <c r="Z138" s="33">
        <f>IF(Ruimtestaat[[#This Row],[Frequentie weekend]]&gt;0,VALUE(LEFT(Y138,1))*R138,0)</f>
        <v>0</v>
      </c>
      <c r="AA138" s="33">
        <f>IF($Z138&gt;0,VLOOKUP($J138,Ruimtegroepen[],3,FALSE)*VLOOKUP($L138,Vloersoorten[],3,FALSE)*VLOOKUP($Y138,Frequenties[],3,FALSE)*VLOOKUP(#REF!,Locaties[],3,FALSE),0)</f>
        <v>0</v>
      </c>
      <c r="AB138" s="33"/>
      <c r="AC138" s="33"/>
      <c r="AD138" s="33">
        <f>Ruimtestaat[[#This Row],[uren / jaar weekend]]*Tariefsopbouw!$D$40</f>
        <v>0</v>
      </c>
      <c r="AE138" s="86">
        <f>Ruimtestaat[[#This Row],[Prest. (m2 /jaar) weekend]]+Ruimtestaat[[#This Row],[Prest. (m2 /jaar) werkdagen]]</f>
        <v>6489</v>
      </c>
      <c r="AF138" s="86">
        <f>Ruimtestaat[[#This Row],[uren / jaar weekend]]+Ruimtestaat[[#This Row],[uren / jaar werkdagen]]</f>
        <v>0</v>
      </c>
      <c r="AG138" s="87">
        <f>Ruimtestaat[[#This Row],[kosten / jaar weekend]]+Ruimtestaat[[#This Row],[kosten / jaar werkdagen]]</f>
        <v>0</v>
      </c>
    </row>
    <row r="139" spans="1:219" ht="15" customHeight="1">
      <c r="A139" s="246">
        <v>2</v>
      </c>
      <c r="B139" s="21" t="str">
        <f>VLOOKUP(Ruimtestaat[[#This Row],[Code]],Locaties[#All],2,FALSE)</f>
        <v>Losser</v>
      </c>
      <c r="C139" s="247" t="str">
        <f>VLOOKUP(Ruimtestaat[[#This Row],[Code]],Locaties[#All],4,FALSE)</f>
        <v>Oranjestraat 2</v>
      </c>
      <c r="D139" s="247" t="str">
        <f>VLOOKUP(Ruimtestaat[[#This Row],[Code]],Locaties[#All],5,FALSE)</f>
        <v>7607 BJ </v>
      </c>
      <c r="E139" s="187" t="str">
        <f>VLOOKUP(Ruimtestaat[[#This Row],[Code]],Locaties[#All],6,FALSE)</f>
        <v>Losser</v>
      </c>
      <c r="F139" s="248"/>
      <c r="G139" s="246" t="s">
        <v>679</v>
      </c>
      <c r="H139" s="246" t="s">
        <v>525</v>
      </c>
      <c r="I139" s="248" t="s">
        <v>1164</v>
      </c>
      <c r="J139" s="247">
        <v>6</v>
      </c>
      <c r="K139" s="247" t="str">
        <f>VLOOKUP(Ruimtestaat[[#This Row],[Ruimte code]],Ruimtegroepen[#All],2,FALSE)</f>
        <v>Gangen/hallen</v>
      </c>
      <c r="L139" s="187" t="s">
        <v>109</v>
      </c>
      <c r="M139" s="249" t="s">
        <v>1203</v>
      </c>
      <c r="N139" s="200">
        <v>3</v>
      </c>
      <c r="O139" s="190"/>
      <c r="P139" s="231" t="str">
        <f>VLOOKUP(Ruimtestaat[[#This Row],[Ruimte code]],Ruimtegroepen[#All],4,FALSE)</f>
        <v>V  (Verkeersruimte)</v>
      </c>
      <c r="Q139" s="201"/>
      <c r="R139" s="202">
        <v>42</v>
      </c>
      <c r="S139" s="202" t="s">
        <v>2</v>
      </c>
      <c r="T139" s="202">
        <f>IF(R139&gt;0,IF(RIGHT(Ruimtestaat[[#This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39" s="202">
        <f>IF(T139&gt;0,VLOOKUP($J139,Ruimtegroepen[],3,FALSE)*VLOOKUP($L139,Vloersoorten[],3,FALSE)*VLOOKUP($S139,Frequenties[],3,FALSE)*VLOOKUP($A139,Locaties[],3,FALSE),0)</f>
        <v>0</v>
      </c>
      <c r="V139" s="202">
        <f>Ruimtestaat[[#This Row],[Uitvoeringen werkdagen]]*Ruimtestaat[[#This Row],[Oppervlak (netto)]]</f>
        <v>630</v>
      </c>
      <c r="W139" s="242">
        <f>IF(U139&gt;0,Ruimtestaat[[#This Row],[Prest. (m2 /jaar) werkdagen]]/Ruimtestaat[[#This Row],[Norm (m2/uur) werkdagen]],0)</f>
        <v>0</v>
      </c>
      <c r="X139" s="243">
        <f>Ruimtestaat[[#This Row],[uren / jaar werkdagen]]*Tariefsopbouw!$D$38</f>
        <v>0</v>
      </c>
      <c r="Y139" s="33"/>
      <c r="Z139" s="33">
        <f>IF(Ruimtestaat[[#This Row],[Frequentie weekend]]&gt;0,VALUE(LEFT(Y139,1))*R139,0)</f>
        <v>0</v>
      </c>
      <c r="AA139" s="33">
        <f>IF($Z139&gt;0,VLOOKUP($J139,Ruimtegroepen[],3,FALSE)*VLOOKUP($L139,Vloersoorten[],3,FALSE)*VLOOKUP($Y139,Frequenties[],3,FALSE)*VLOOKUP(#REF!,Locaties[],3,FALSE),0)</f>
        <v>0</v>
      </c>
      <c r="AB139" s="33"/>
      <c r="AC139" s="33"/>
      <c r="AD139" s="33">
        <f>Ruimtestaat[[#This Row],[uren / jaar weekend]]*Tariefsopbouw!$D$40</f>
        <v>0</v>
      </c>
      <c r="AE139" s="86">
        <f>Ruimtestaat[[#This Row],[Prest. (m2 /jaar) weekend]]+Ruimtestaat[[#This Row],[Prest. (m2 /jaar) werkdagen]]</f>
        <v>630</v>
      </c>
      <c r="AF139" s="86">
        <f>Ruimtestaat[[#This Row],[uren / jaar weekend]]+Ruimtestaat[[#This Row],[uren / jaar werkdagen]]</f>
        <v>0</v>
      </c>
      <c r="AG139" s="87">
        <f>Ruimtestaat[[#This Row],[kosten / jaar weekend]]+Ruimtestaat[[#This Row],[kosten / jaar werkdagen]]</f>
        <v>0</v>
      </c>
    </row>
    <row r="140" spans="1:219" ht="15" customHeight="1">
      <c r="A140" s="246">
        <v>2</v>
      </c>
      <c r="B140" s="21" t="str">
        <f>VLOOKUP(Ruimtestaat[[#This Row],[Code]],Locaties[#All],2,FALSE)</f>
        <v>Losser</v>
      </c>
      <c r="C140" s="247" t="str">
        <f>VLOOKUP(Ruimtestaat[[#This Row],[Code]],Locaties[#All],4,FALSE)</f>
        <v>Oranjestraat 2</v>
      </c>
      <c r="D140" s="247" t="str">
        <f>VLOOKUP(Ruimtestaat[[#This Row],[Code]],Locaties[#All],5,FALSE)</f>
        <v>7607 BJ </v>
      </c>
      <c r="E140" s="187" t="str">
        <f>VLOOKUP(Ruimtestaat[[#This Row],[Code]],Locaties[#All],6,FALSE)</f>
        <v>Losser</v>
      </c>
      <c r="F140" s="248"/>
      <c r="G140" s="246" t="s">
        <v>679</v>
      </c>
      <c r="H140" s="246" t="s">
        <v>1165</v>
      </c>
      <c r="I140" s="248" t="s">
        <v>1166</v>
      </c>
      <c r="J140" s="187">
        <v>6</v>
      </c>
      <c r="K140" s="187" t="str">
        <f>VLOOKUP(Ruimtestaat[[#This Row],[Ruimte code]],Ruimtegroepen[#All],2,FALSE)</f>
        <v>Gangen/hallen</v>
      </c>
      <c r="L140" s="187" t="s">
        <v>109</v>
      </c>
      <c r="M140" s="249" t="s">
        <v>1203</v>
      </c>
      <c r="N140" s="200">
        <v>3</v>
      </c>
      <c r="O140" s="190"/>
      <c r="P140" s="231" t="str">
        <f>VLOOKUP(Ruimtestaat[[#This Row],[Ruimte code]],Ruimtegroepen[#All],4,FALSE)</f>
        <v>V  (Verkeersruimte)</v>
      </c>
      <c r="Q140" s="201"/>
      <c r="R140" s="202">
        <v>42</v>
      </c>
      <c r="S140" s="202" t="s">
        <v>2</v>
      </c>
      <c r="T140" s="202">
        <f>IF(R140&gt;0,IF(RIGHT(Ruimtestaat[[#This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40" s="202">
        <f>IF(T140&gt;0,VLOOKUP($J140,Ruimtegroepen[],3,FALSE)*VLOOKUP($L140,Vloersoorten[],3,FALSE)*VLOOKUP($S140,Frequenties[],3,FALSE)*VLOOKUP($A140,Locaties[],3,FALSE),0)</f>
        <v>0</v>
      </c>
      <c r="V140" s="202">
        <f>Ruimtestaat[[#This Row],[Uitvoeringen werkdagen]]*Ruimtestaat[[#This Row],[Oppervlak (netto)]]</f>
        <v>630</v>
      </c>
      <c r="W140" s="242">
        <f>IF(U140&gt;0,Ruimtestaat[[#This Row],[Prest. (m2 /jaar) werkdagen]]/Ruimtestaat[[#This Row],[Norm (m2/uur) werkdagen]],0)</f>
        <v>0</v>
      </c>
      <c r="X140" s="243">
        <f>Ruimtestaat[[#This Row],[uren / jaar werkdagen]]*Tariefsopbouw!$D$38</f>
        <v>0</v>
      </c>
      <c r="Y140" s="33"/>
      <c r="Z140" s="33">
        <f>IF(Ruimtestaat[[#This Row],[Frequentie weekend]]&gt;0,VALUE(LEFT(Y140,1))*R140,0)</f>
        <v>0</v>
      </c>
      <c r="AA140" s="33">
        <f>IF($Z140&gt;0,VLOOKUP($J140,Ruimtegroepen[],3,FALSE)*VLOOKUP($L140,Vloersoorten[],3,FALSE)*VLOOKUP($Y140,Frequenties[],3,FALSE)*VLOOKUP(#REF!,Locaties[],3,FALSE),0)</f>
        <v>0</v>
      </c>
      <c r="AB140" s="33"/>
      <c r="AC140" s="33"/>
      <c r="AD140" s="33">
        <f>Ruimtestaat[[#This Row],[uren / jaar weekend]]*Tariefsopbouw!$D$40</f>
        <v>0</v>
      </c>
      <c r="AE140" s="86">
        <f>Ruimtestaat[[#This Row],[Prest. (m2 /jaar) weekend]]+Ruimtestaat[[#This Row],[Prest. (m2 /jaar) werkdagen]]</f>
        <v>630</v>
      </c>
      <c r="AF140" s="86">
        <f>Ruimtestaat[[#This Row],[uren / jaar weekend]]+Ruimtestaat[[#This Row],[uren / jaar werkdagen]]</f>
        <v>0</v>
      </c>
      <c r="AG140" s="87">
        <f>Ruimtestaat[[#This Row],[kosten / jaar weekend]]+Ruimtestaat[[#This Row],[kosten / jaar werkdagen]]</f>
        <v>0</v>
      </c>
    </row>
    <row r="141" spans="1:219" ht="15" customHeight="1">
      <c r="A141" s="246">
        <v>2</v>
      </c>
      <c r="B141" s="21" t="str">
        <f>VLOOKUP(Ruimtestaat[[#This Row],[Code]],Locaties[#All],2,FALSE)</f>
        <v>Losser</v>
      </c>
      <c r="C141" s="247" t="str">
        <f>VLOOKUP(Ruimtestaat[[#This Row],[Code]],Locaties[#All],4,FALSE)</f>
        <v>Oranjestraat 2</v>
      </c>
      <c r="D141" s="247" t="str">
        <f>VLOOKUP(Ruimtestaat[[#This Row],[Code]],Locaties[#All],5,FALSE)</f>
        <v>7607 BJ </v>
      </c>
      <c r="E141" s="187" t="str">
        <f>VLOOKUP(Ruimtestaat[[#This Row],[Code]],Locaties[#All],6,FALSE)</f>
        <v>Losser</v>
      </c>
      <c r="F141" s="248"/>
      <c r="G141" s="246" t="s">
        <v>679</v>
      </c>
      <c r="H141" s="246" t="s">
        <v>526</v>
      </c>
      <c r="I141" s="248" t="s">
        <v>1153</v>
      </c>
      <c r="J141" s="187">
        <v>7</v>
      </c>
      <c r="K141" s="187" t="str">
        <f>VLOOKUP(Ruimtestaat[[#This Row],[Ruimte code]],Ruimtegroepen[#All],2,FALSE)</f>
        <v>Entree / buitenentree</v>
      </c>
      <c r="L141" s="247" t="s">
        <v>1204</v>
      </c>
      <c r="M141" s="249" t="s">
        <v>1205</v>
      </c>
      <c r="N141" s="200">
        <v>33.5</v>
      </c>
      <c r="O141" s="190"/>
      <c r="P141" s="231" t="str">
        <f>VLOOKUP(Ruimtestaat[[#This Row],[Ruimte code]],Ruimtegroepen[#All],4,FALSE)</f>
        <v>V  (Verkeersruimte)</v>
      </c>
      <c r="Q141" s="201"/>
      <c r="R141" s="202">
        <v>42</v>
      </c>
      <c r="S141" s="202" t="s">
        <v>2</v>
      </c>
      <c r="T141" s="202">
        <f>IF(R141&gt;0,IF(RIGHT(Ruimtestaat[[#This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41" s="202">
        <f>IF(T141&gt;0,VLOOKUP($J141,Ruimtegroepen[],3,FALSE)*VLOOKUP($L141,Vloersoorten[],3,FALSE)*VLOOKUP($S141,Frequenties[],3,FALSE)*VLOOKUP($A141,Locaties[],3,FALSE),0)</f>
        <v>0</v>
      </c>
      <c r="V141" s="202">
        <f>Ruimtestaat[[#This Row],[Uitvoeringen werkdagen]]*Ruimtestaat[[#This Row],[Oppervlak (netto)]]</f>
        <v>7035</v>
      </c>
      <c r="W141" s="242">
        <f>IF(U141&gt;0,Ruimtestaat[[#This Row],[Prest. (m2 /jaar) werkdagen]]/Ruimtestaat[[#This Row],[Norm (m2/uur) werkdagen]],0)</f>
        <v>0</v>
      </c>
      <c r="X141" s="243">
        <f>Ruimtestaat[[#This Row],[uren / jaar werkdagen]]*Tariefsopbouw!$D$38</f>
        <v>0</v>
      </c>
      <c r="Y141" s="33"/>
      <c r="Z141" s="33">
        <f>IF(Ruimtestaat[[#This Row],[Frequentie weekend]]&gt;0,VALUE(LEFT(Y141,1))*R141,0)</f>
        <v>0</v>
      </c>
      <c r="AA141" s="33">
        <f>IF($Z141&gt;0,VLOOKUP($J141,Ruimtegroepen[],3,FALSE)*VLOOKUP($L141,Vloersoorten[],3,FALSE)*VLOOKUP($Y141,Frequenties[],3,FALSE)*VLOOKUP(#REF!,Locaties[],3,FALSE),0)</f>
        <v>0</v>
      </c>
      <c r="AB141" s="33"/>
      <c r="AC141" s="33"/>
      <c r="AD141" s="33">
        <f>Ruimtestaat[[#This Row],[uren / jaar weekend]]*Tariefsopbouw!$D$40</f>
        <v>0</v>
      </c>
      <c r="AE141" s="86">
        <f>Ruimtestaat[[#This Row],[Prest. (m2 /jaar) weekend]]+Ruimtestaat[[#This Row],[Prest. (m2 /jaar) werkdagen]]</f>
        <v>7035</v>
      </c>
      <c r="AF141" s="86">
        <f>Ruimtestaat[[#This Row],[uren / jaar weekend]]+Ruimtestaat[[#This Row],[uren / jaar werkdagen]]</f>
        <v>0</v>
      </c>
      <c r="AG141" s="87">
        <f>Ruimtestaat[[#This Row],[kosten / jaar weekend]]+Ruimtestaat[[#This Row],[kosten / jaar werkdagen]]</f>
        <v>0</v>
      </c>
    </row>
    <row r="142" spans="1:219" ht="15" customHeight="1">
      <c r="A142" s="246">
        <v>2</v>
      </c>
      <c r="B142" s="21" t="str">
        <f>VLOOKUP(Ruimtestaat[[#This Row],[Code]],Locaties[#All],2,FALSE)</f>
        <v>Losser</v>
      </c>
      <c r="C142" s="247" t="str">
        <f>VLOOKUP(Ruimtestaat[[#This Row],[Code]],Locaties[#All],4,FALSE)</f>
        <v>Oranjestraat 2</v>
      </c>
      <c r="D142" s="247" t="str">
        <f>VLOOKUP(Ruimtestaat[[#This Row],[Code]],Locaties[#All],5,FALSE)</f>
        <v>7607 BJ </v>
      </c>
      <c r="E142" s="187" t="str">
        <f>VLOOKUP(Ruimtestaat[[#This Row],[Code]],Locaties[#All],6,FALSE)</f>
        <v>Losser</v>
      </c>
      <c r="F142" s="248"/>
      <c r="G142" s="246" t="s">
        <v>679</v>
      </c>
      <c r="H142" s="246" t="s">
        <v>527</v>
      </c>
      <c r="I142" s="248" t="s">
        <v>699</v>
      </c>
      <c r="J142" s="187">
        <v>2</v>
      </c>
      <c r="K142" s="187" t="str">
        <f>VLOOKUP(Ruimtestaat[[#This Row],[Ruimte code]],Ruimtegroepen[#All],2,FALSE)</f>
        <v>Kantoren/kantoortuin</v>
      </c>
      <c r="L142" s="187" t="s">
        <v>109</v>
      </c>
      <c r="M142" s="249" t="s">
        <v>1203</v>
      </c>
      <c r="N142" s="200">
        <v>28.4</v>
      </c>
      <c r="O142" s="190"/>
      <c r="P142" s="231" t="str">
        <f>VLOOKUP(Ruimtestaat[[#This Row],[Ruimte code]],Ruimtegroepen[#All],4,FALSE)</f>
        <v>B  (Bureauruimte)</v>
      </c>
      <c r="Q142" s="201"/>
      <c r="R142" s="202">
        <v>42</v>
      </c>
      <c r="S142" s="202" t="s">
        <v>2</v>
      </c>
      <c r="T142" s="202">
        <f>IF(R142&gt;0,IF(RIGHT(Ruimtestaat[[#This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42" s="202">
        <f>IF(T142&gt;0,VLOOKUP($J142,Ruimtegroepen[],3,FALSE)*VLOOKUP($L142,Vloersoorten[],3,FALSE)*VLOOKUP($S142,Frequenties[],3,FALSE)*VLOOKUP($A142,Locaties[],3,FALSE),0)</f>
        <v>0</v>
      </c>
      <c r="V142" s="202">
        <f>Ruimtestaat[[#This Row],[Uitvoeringen werkdagen]]*Ruimtestaat[[#This Row],[Oppervlak (netto)]]</f>
        <v>5964</v>
      </c>
      <c r="W142" s="242">
        <f>IF(U142&gt;0,Ruimtestaat[[#This Row],[Prest. (m2 /jaar) werkdagen]]/Ruimtestaat[[#This Row],[Norm (m2/uur) werkdagen]],0)</f>
        <v>0</v>
      </c>
      <c r="X142" s="243">
        <f>Ruimtestaat[[#This Row],[uren / jaar werkdagen]]*Tariefsopbouw!$D$38</f>
        <v>0</v>
      </c>
      <c r="Y142" s="33"/>
      <c r="Z142" s="33">
        <f>IF(Ruimtestaat[[#This Row],[Frequentie weekend]]&gt;0,VALUE(LEFT(Y142,1))*R142,0)</f>
        <v>0</v>
      </c>
      <c r="AA142" s="33">
        <f>IF($Z142&gt;0,VLOOKUP($J142,Ruimtegroepen[],3,FALSE)*VLOOKUP($L142,Vloersoorten[],3,FALSE)*VLOOKUP($Y142,Frequenties[],3,FALSE)*VLOOKUP(#REF!,Locaties[],3,FALSE),0)</f>
        <v>0</v>
      </c>
      <c r="AB142" s="33"/>
      <c r="AC142" s="33"/>
      <c r="AD142" s="33">
        <f>Ruimtestaat[[#This Row],[uren / jaar weekend]]*Tariefsopbouw!$D$40</f>
        <v>0</v>
      </c>
      <c r="AE142" s="86">
        <f>Ruimtestaat[[#This Row],[Prest. (m2 /jaar) weekend]]+Ruimtestaat[[#This Row],[Prest. (m2 /jaar) werkdagen]]</f>
        <v>5964</v>
      </c>
      <c r="AF142" s="86">
        <f>Ruimtestaat[[#This Row],[uren / jaar weekend]]+Ruimtestaat[[#This Row],[uren / jaar werkdagen]]</f>
        <v>0</v>
      </c>
      <c r="AG142" s="87">
        <f>Ruimtestaat[[#This Row],[kosten / jaar weekend]]+Ruimtestaat[[#This Row],[kosten / jaar werkdagen]]</f>
        <v>0</v>
      </c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  <c r="DV142" s="4"/>
      <c r="DW142" s="4"/>
      <c r="DX142" s="4"/>
      <c r="DY142" s="4"/>
      <c r="DZ142" s="4"/>
      <c r="EA142" s="4"/>
      <c r="EB142" s="4"/>
      <c r="EC142" s="4"/>
      <c r="ED142" s="4"/>
      <c r="EE142" s="4"/>
      <c r="EF142" s="4"/>
      <c r="EG142" s="4"/>
      <c r="EH142" s="4"/>
      <c r="EI142" s="4"/>
      <c r="EJ142" s="4"/>
      <c r="EK142" s="4"/>
      <c r="EL142" s="4"/>
      <c r="EM142" s="4"/>
      <c r="EN142" s="4"/>
      <c r="EO142" s="4"/>
      <c r="EP142" s="4"/>
      <c r="EQ142" s="4"/>
      <c r="ER142" s="4"/>
      <c r="ES142" s="4"/>
      <c r="ET142" s="4"/>
      <c r="EU142" s="4"/>
      <c r="EV142" s="4"/>
      <c r="EW142" s="4"/>
      <c r="EX142" s="4"/>
      <c r="EY142" s="4"/>
      <c r="EZ142" s="4"/>
      <c r="FA142" s="4"/>
      <c r="FB142" s="4"/>
      <c r="FC142" s="4"/>
      <c r="FD142" s="4"/>
      <c r="FE142" s="4"/>
      <c r="FF142" s="4"/>
      <c r="FG142" s="4"/>
      <c r="FH142" s="4"/>
      <c r="FI142" s="4"/>
      <c r="FJ142" s="4"/>
      <c r="FK142" s="4"/>
      <c r="FL142" s="4"/>
      <c r="FM142" s="4"/>
      <c r="FN142" s="4"/>
      <c r="FO142" s="4"/>
      <c r="FP142" s="4"/>
      <c r="FQ142" s="4"/>
      <c r="FR142" s="4"/>
      <c r="FS142" s="4"/>
      <c r="FT142" s="4"/>
      <c r="FU142" s="4"/>
      <c r="FV142" s="4"/>
      <c r="FW142" s="4"/>
      <c r="FX142" s="4"/>
      <c r="FY142" s="4"/>
      <c r="FZ142" s="4"/>
      <c r="GA142" s="4"/>
      <c r="GB142" s="4"/>
      <c r="GC142" s="4"/>
      <c r="GD142" s="4"/>
      <c r="GE142" s="4"/>
      <c r="GF142" s="4"/>
      <c r="GG142" s="4"/>
      <c r="GH142" s="4"/>
      <c r="GI142" s="4"/>
      <c r="GJ142" s="4"/>
      <c r="GK142" s="4"/>
      <c r="GL142" s="4"/>
      <c r="GM142" s="4"/>
      <c r="GN142" s="4"/>
      <c r="GO142" s="4"/>
      <c r="GP142" s="4"/>
      <c r="GQ142" s="4"/>
      <c r="GR142" s="4"/>
      <c r="GS142" s="4"/>
      <c r="GT142" s="4"/>
      <c r="GU142" s="4"/>
      <c r="GV142" s="4"/>
      <c r="GW142" s="4"/>
      <c r="GX142" s="4"/>
      <c r="GY142" s="4"/>
      <c r="GZ142" s="4"/>
      <c r="HA142" s="4"/>
      <c r="HB142" s="4"/>
      <c r="HC142" s="4"/>
      <c r="HD142" s="4"/>
      <c r="HE142" s="4"/>
      <c r="HF142" s="4"/>
      <c r="HG142" s="4"/>
      <c r="HH142" s="4"/>
      <c r="HI142" s="4"/>
      <c r="HJ142" s="4"/>
      <c r="HK142" s="4"/>
    </row>
    <row r="143" spans="1:219" ht="15" customHeight="1">
      <c r="A143" s="246">
        <v>2</v>
      </c>
      <c r="B143" s="21" t="str">
        <f>VLOOKUP(Ruimtestaat[[#This Row],[Code]],Locaties[#All],2,FALSE)</f>
        <v>Losser</v>
      </c>
      <c r="C143" s="247" t="str">
        <f>VLOOKUP(Ruimtestaat[[#This Row],[Code]],Locaties[#All],4,FALSE)</f>
        <v>Oranjestraat 2</v>
      </c>
      <c r="D143" s="247" t="str">
        <f>VLOOKUP(Ruimtestaat[[#This Row],[Code]],Locaties[#All],5,FALSE)</f>
        <v>7607 BJ </v>
      </c>
      <c r="E143" s="187" t="str">
        <f>VLOOKUP(Ruimtestaat[[#This Row],[Code]],Locaties[#All],6,FALSE)</f>
        <v>Losser</v>
      </c>
      <c r="F143" s="248"/>
      <c r="G143" s="246" t="s">
        <v>679</v>
      </c>
      <c r="H143" s="246" t="s">
        <v>528</v>
      </c>
      <c r="I143" s="248" t="s">
        <v>1152</v>
      </c>
      <c r="J143" s="187">
        <v>12</v>
      </c>
      <c r="K143" s="187" t="str">
        <f>VLOOKUP(Ruimtestaat[[#This Row],[Ruimte code]],Ruimtegroepen[#All],2,FALSE)</f>
        <v>Kantine/aula</v>
      </c>
      <c r="L143" s="187" t="s">
        <v>109</v>
      </c>
      <c r="M143" s="249" t="s">
        <v>1203</v>
      </c>
      <c r="N143" s="200">
        <v>225.8</v>
      </c>
      <c r="O143" s="190"/>
      <c r="P143" s="231" t="str">
        <f>VLOOKUP(Ruimtestaat[[#This Row],[Ruimte code]],Ruimtegroepen[#All],4,FALSE)</f>
        <v>V  (Verkeersruimte)</v>
      </c>
      <c r="Q143" s="201"/>
      <c r="R143" s="202">
        <v>42</v>
      </c>
      <c r="S143" s="202" t="s">
        <v>2</v>
      </c>
      <c r="T143" s="202">
        <f>IF(R143&gt;0,IF(RIGHT(Ruimtestaat[[#This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43" s="202">
        <f>IF(T143&gt;0,VLOOKUP($J143,Ruimtegroepen[],3,FALSE)*VLOOKUP($L143,Vloersoorten[],3,FALSE)*VLOOKUP($S143,Frequenties[],3,FALSE)*VLOOKUP($A143,Locaties[],3,FALSE),0)</f>
        <v>0</v>
      </c>
      <c r="V143" s="202">
        <f>Ruimtestaat[[#This Row],[Uitvoeringen werkdagen]]*Ruimtestaat[[#This Row],[Oppervlak (netto)]]</f>
        <v>47418</v>
      </c>
      <c r="W143" s="242">
        <f>IF(U143&gt;0,Ruimtestaat[[#This Row],[Prest. (m2 /jaar) werkdagen]]/Ruimtestaat[[#This Row],[Norm (m2/uur) werkdagen]],0)</f>
        <v>0</v>
      </c>
      <c r="X143" s="243">
        <f>Ruimtestaat[[#This Row],[uren / jaar werkdagen]]*Tariefsopbouw!$D$38</f>
        <v>0</v>
      </c>
      <c r="Y143" s="33"/>
      <c r="Z143" s="33">
        <f>IF(Ruimtestaat[[#This Row],[Frequentie weekend]]&gt;0,VALUE(LEFT(Y143,1))*R143,0)</f>
        <v>0</v>
      </c>
      <c r="AA143" s="33">
        <f>IF($Z143&gt;0,VLOOKUP($J143,Ruimtegroepen[],3,FALSE)*VLOOKUP($L143,Vloersoorten[],3,FALSE)*VLOOKUP($Y143,Frequenties[],3,FALSE)*VLOOKUP(#REF!,Locaties[],3,FALSE),0)</f>
        <v>0</v>
      </c>
      <c r="AB143" s="33"/>
      <c r="AC143" s="33"/>
      <c r="AD143" s="33">
        <f>Ruimtestaat[[#This Row],[uren / jaar weekend]]*Tariefsopbouw!$D$40</f>
        <v>0</v>
      </c>
      <c r="AE143" s="86">
        <f>Ruimtestaat[[#This Row],[Prest. (m2 /jaar) weekend]]+Ruimtestaat[[#This Row],[Prest. (m2 /jaar) werkdagen]]</f>
        <v>47418</v>
      </c>
      <c r="AF143" s="86">
        <f>Ruimtestaat[[#This Row],[uren / jaar weekend]]+Ruimtestaat[[#This Row],[uren / jaar werkdagen]]</f>
        <v>0</v>
      </c>
      <c r="AG143" s="87">
        <f>Ruimtestaat[[#This Row],[kosten / jaar weekend]]+Ruimtestaat[[#This Row],[kosten / jaar werkdagen]]</f>
        <v>0</v>
      </c>
    </row>
    <row r="144" spans="1:219" ht="15" customHeight="1">
      <c r="A144" s="246">
        <v>2</v>
      </c>
      <c r="B144" s="21" t="str">
        <f>VLOOKUP(Ruimtestaat[[#This Row],[Code]],Locaties[#All],2,FALSE)</f>
        <v>Losser</v>
      </c>
      <c r="C144" s="247" t="str">
        <f>VLOOKUP(Ruimtestaat[[#This Row],[Code]],Locaties[#All],4,FALSE)</f>
        <v>Oranjestraat 2</v>
      </c>
      <c r="D144" s="247" t="str">
        <f>VLOOKUP(Ruimtestaat[[#This Row],[Code]],Locaties[#All],5,FALSE)</f>
        <v>7607 BJ </v>
      </c>
      <c r="E144" s="187" t="str">
        <f>VLOOKUP(Ruimtestaat[[#This Row],[Code]],Locaties[#All],6,FALSE)</f>
        <v>Losser</v>
      </c>
      <c r="F144" s="248"/>
      <c r="G144" s="246" t="s">
        <v>679</v>
      </c>
      <c r="H144" s="246" t="s">
        <v>529</v>
      </c>
      <c r="I144" s="248" t="s">
        <v>1167</v>
      </c>
      <c r="J144" s="187">
        <v>2</v>
      </c>
      <c r="K144" s="187" t="str">
        <f>VLOOKUP(Ruimtestaat[[#This Row],[Ruimte code]],Ruimtegroepen[#All],2,FALSE)</f>
        <v>Kantoren/kantoortuin</v>
      </c>
      <c r="L144" s="187" t="s">
        <v>109</v>
      </c>
      <c r="M144" s="249" t="s">
        <v>1203</v>
      </c>
      <c r="N144" s="200">
        <v>18.7</v>
      </c>
      <c r="O144" s="190"/>
      <c r="P144" s="231" t="str">
        <f>VLOOKUP(Ruimtestaat[[#This Row],[Ruimte code]],Ruimtegroepen[#All],4,FALSE)</f>
        <v>B  (Bureauruimte)</v>
      </c>
      <c r="Q144" s="201"/>
      <c r="R144" s="202">
        <v>42</v>
      </c>
      <c r="S144" s="202" t="s">
        <v>2</v>
      </c>
      <c r="T144" s="202">
        <f>IF(R144&gt;0,IF(RIGHT(Ruimtestaat[[#This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44" s="202">
        <f>IF(T144&gt;0,VLOOKUP($J144,Ruimtegroepen[],3,FALSE)*VLOOKUP($L144,Vloersoorten[],3,FALSE)*VLOOKUP($S144,Frequenties[],3,FALSE)*VLOOKUP($A144,Locaties[],3,FALSE),0)</f>
        <v>0</v>
      </c>
      <c r="V144" s="202">
        <f>Ruimtestaat[[#This Row],[Uitvoeringen werkdagen]]*Ruimtestaat[[#This Row],[Oppervlak (netto)]]</f>
        <v>3927</v>
      </c>
      <c r="W144" s="242">
        <f>IF(U144&gt;0,Ruimtestaat[[#This Row],[Prest. (m2 /jaar) werkdagen]]/Ruimtestaat[[#This Row],[Norm (m2/uur) werkdagen]],0)</f>
        <v>0</v>
      </c>
      <c r="X144" s="243">
        <f>Ruimtestaat[[#This Row],[uren / jaar werkdagen]]*Tariefsopbouw!$D$38</f>
        <v>0</v>
      </c>
      <c r="Y144" s="33"/>
      <c r="Z144" s="33">
        <f>IF(Ruimtestaat[[#This Row],[Frequentie weekend]]&gt;0,VALUE(LEFT(Y144,1))*R144,0)</f>
        <v>0</v>
      </c>
      <c r="AA144" s="33">
        <f>IF($Z144&gt;0,VLOOKUP($J144,Ruimtegroepen[],3,FALSE)*VLOOKUP($L144,Vloersoorten[],3,FALSE)*VLOOKUP($Y144,Frequenties[],3,FALSE)*VLOOKUP(#REF!,Locaties[],3,FALSE),0)</f>
        <v>0</v>
      </c>
      <c r="AB144" s="33"/>
      <c r="AC144" s="33"/>
      <c r="AD144" s="33">
        <f>Ruimtestaat[[#This Row],[uren / jaar weekend]]*Tariefsopbouw!$D$40</f>
        <v>0</v>
      </c>
      <c r="AE144" s="86">
        <f>Ruimtestaat[[#This Row],[Prest. (m2 /jaar) weekend]]+Ruimtestaat[[#This Row],[Prest. (m2 /jaar) werkdagen]]</f>
        <v>3927</v>
      </c>
      <c r="AF144" s="86">
        <f>Ruimtestaat[[#This Row],[uren / jaar weekend]]+Ruimtestaat[[#This Row],[uren / jaar werkdagen]]</f>
        <v>0</v>
      </c>
      <c r="AG144" s="87">
        <f>Ruimtestaat[[#This Row],[kosten / jaar weekend]]+Ruimtestaat[[#This Row],[kosten / jaar werkdagen]]</f>
        <v>0</v>
      </c>
    </row>
    <row r="145" spans="1:33" ht="15" customHeight="1">
      <c r="A145" s="246">
        <v>2</v>
      </c>
      <c r="B145" s="21" t="str">
        <f>VLOOKUP(Ruimtestaat[[#This Row],[Code]],Locaties[#All],2,FALSE)</f>
        <v>Losser</v>
      </c>
      <c r="C145" s="247" t="str">
        <f>VLOOKUP(Ruimtestaat[[#This Row],[Code]],Locaties[#All],4,FALSE)</f>
        <v>Oranjestraat 2</v>
      </c>
      <c r="D145" s="247" t="str">
        <f>VLOOKUP(Ruimtestaat[[#This Row],[Code]],Locaties[#All],5,FALSE)</f>
        <v>7607 BJ </v>
      </c>
      <c r="E145" s="187" t="str">
        <f>VLOOKUP(Ruimtestaat[[#This Row],[Code]],Locaties[#All],6,FALSE)</f>
        <v>Losser</v>
      </c>
      <c r="F145" s="248"/>
      <c r="G145" s="246" t="s">
        <v>679</v>
      </c>
      <c r="H145" s="246" t="s">
        <v>530</v>
      </c>
      <c r="I145" s="248" t="s">
        <v>509</v>
      </c>
      <c r="J145" s="187">
        <v>5</v>
      </c>
      <c r="K145" s="187" t="str">
        <f>VLOOKUP(Ruimtestaat[[#This Row],[Ruimte code]],Ruimtegroepen[#All],2,FALSE)</f>
        <v>Sanitair</v>
      </c>
      <c r="L145" s="202" t="s">
        <v>108</v>
      </c>
      <c r="M145" s="249" t="s">
        <v>1206</v>
      </c>
      <c r="N145" s="200">
        <v>1.1000000000000001</v>
      </c>
      <c r="O145" s="190"/>
      <c r="P145" s="231" t="str">
        <f>VLOOKUP(Ruimtestaat[[#This Row],[Ruimte code]],Ruimtegroepen[#All],4,FALSE)</f>
        <v>S  (Sanitair)</v>
      </c>
      <c r="Q145" s="201"/>
      <c r="R145" s="202">
        <v>42</v>
      </c>
      <c r="S145" s="202" t="s">
        <v>2</v>
      </c>
      <c r="T145" s="202">
        <f>IF(R145&gt;0,IF(RIGHT(Ruimtestaat[[#This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45" s="202">
        <f>IF(T145&gt;0,VLOOKUP($J145,Ruimtegroepen[],3,FALSE)*VLOOKUP($L145,Vloersoorten[],3,FALSE)*VLOOKUP($S145,Frequenties[],3,FALSE)*VLOOKUP($A145,Locaties[],3,FALSE),0)</f>
        <v>0</v>
      </c>
      <c r="V145" s="202">
        <f>Ruimtestaat[[#This Row],[Uitvoeringen werkdagen]]*Ruimtestaat[[#This Row],[Oppervlak (netto)]]</f>
        <v>231.00000000000003</v>
      </c>
      <c r="W145" s="242">
        <f>IF(U145&gt;0,Ruimtestaat[[#This Row],[Prest. (m2 /jaar) werkdagen]]/Ruimtestaat[[#This Row],[Norm (m2/uur) werkdagen]],0)</f>
        <v>0</v>
      </c>
      <c r="X145" s="243">
        <f>Ruimtestaat[[#This Row],[uren / jaar werkdagen]]*Tariefsopbouw!$D$38</f>
        <v>0</v>
      </c>
      <c r="Y145" s="33"/>
      <c r="Z145" s="33">
        <f>IF(Ruimtestaat[[#This Row],[Frequentie weekend]]&gt;0,VALUE(LEFT(Y145,1))*R145,0)</f>
        <v>0</v>
      </c>
      <c r="AA145" s="33">
        <f>IF($Z145&gt;0,VLOOKUP($J145,Ruimtegroepen[],3,FALSE)*VLOOKUP($L145,Vloersoorten[],3,FALSE)*VLOOKUP($Y145,Frequenties[],3,FALSE)*VLOOKUP(#REF!,Locaties[],3,FALSE),0)</f>
        <v>0</v>
      </c>
      <c r="AB145" s="33"/>
      <c r="AC145" s="33"/>
      <c r="AD145" s="33">
        <f>Ruimtestaat[[#This Row],[uren / jaar weekend]]*Tariefsopbouw!$D$40</f>
        <v>0</v>
      </c>
      <c r="AE145" s="86">
        <f>Ruimtestaat[[#This Row],[Prest. (m2 /jaar) weekend]]+Ruimtestaat[[#This Row],[Prest. (m2 /jaar) werkdagen]]</f>
        <v>231.00000000000003</v>
      </c>
      <c r="AF145" s="86">
        <f>Ruimtestaat[[#This Row],[uren / jaar weekend]]+Ruimtestaat[[#This Row],[uren / jaar werkdagen]]</f>
        <v>0</v>
      </c>
      <c r="AG145" s="87">
        <f>Ruimtestaat[[#This Row],[kosten / jaar weekend]]+Ruimtestaat[[#This Row],[kosten / jaar werkdagen]]</f>
        <v>0</v>
      </c>
    </row>
    <row r="146" spans="1:33" ht="15" customHeight="1">
      <c r="A146" s="246">
        <v>2</v>
      </c>
      <c r="B146" s="21" t="str">
        <f>VLOOKUP(Ruimtestaat[[#This Row],[Code]],Locaties[#All],2,FALSE)</f>
        <v>Losser</v>
      </c>
      <c r="C146" s="247" t="str">
        <f>VLOOKUP(Ruimtestaat[[#This Row],[Code]],Locaties[#All],4,FALSE)</f>
        <v>Oranjestraat 2</v>
      </c>
      <c r="D146" s="247" t="str">
        <f>VLOOKUP(Ruimtestaat[[#This Row],[Code]],Locaties[#All],5,FALSE)</f>
        <v>7607 BJ </v>
      </c>
      <c r="E146" s="187" t="str">
        <f>VLOOKUP(Ruimtestaat[[#This Row],[Code]],Locaties[#All],6,FALSE)</f>
        <v>Losser</v>
      </c>
      <c r="F146" s="248"/>
      <c r="G146" s="246" t="s">
        <v>679</v>
      </c>
      <c r="H146" s="246" t="s">
        <v>531</v>
      </c>
      <c r="I146" s="248" t="s">
        <v>509</v>
      </c>
      <c r="J146" s="187">
        <v>5</v>
      </c>
      <c r="K146" s="187" t="str">
        <f>VLOOKUP(Ruimtestaat[[#This Row],[Ruimte code]],Ruimtegroepen[#All],2,FALSE)</f>
        <v>Sanitair</v>
      </c>
      <c r="L146" s="202" t="s">
        <v>108</v>
      </c>
      <c r="M146" s="249" t="s">
        <v>1206</v>
      </c>
      <c r="N146" s="200">
        <v>1.1000000000000001</v>
      </c>
      <c r="O146" s="190"/>
      <c r="P146" s="231" t="str">
        <f>VLOOKUP(Ruimtestaat[[#This Row],[Ruimte code]],Ruimtegroepen[#All],4,FALSE)</f>
        <v>S  (Sanitair)</v>
      </c>
      <c r="Q146" s="201"/>
      <c r="R146" s="202">
        <v>42</v>
      </c>
      <c r="S146" s="202" t="s">
        <v>2</v>
      </c>
      <c r="T146" s="202">
        <f>IF(R146&gt;0,IF(RIGHT(Ruimtestaat[[#This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46" s="202">
        <f>IF(T146&gt;0,VLOOKUP($J146,Ruimtegroepen[],3,FALSE)*VLOOKUP($L146,Vloersoorten[],3,FALSE)*VLOOKUP($S146,Frequenties[],3,FALSE)*VLOOKUP($A146,Locaties[],3,FALSE),0)</f>
        <v>0</v>
      </c>
      <c r="V146" s="202">
        <f>Ruimtestaat[[#This Row],[Uitvoeringen werkdagen]]*Ruimtestaat[[#This Row],[Oppervlak (netto)]]</f>
        <v>231.00000000000003</v>
      </c>
      <c r="W146" s="242">
        <f>IF(U146&gt;0,Ruimtestaat[[#This Row],[Prest. (m2 /jaar) werkdagen]]/Ruimtestaat[[#This Row],[Norm (m2/uur) werkdagen]],0)</f>
        <v>0</v>
      </c>
      <c r="X146" s="243">
        <f>Ruimtestaat[[#This Row],[uren / jaar werkdagen]]*Tariefsopbouw!$D$38</f>
        <v>0</v>
      </c>
      <c r="Y146" s="33"/>
      <c r="Z146" s="33">
        <f>IF(Ruimtestaat[[#This Row],[Frequentie weekend]]&gt;0,VALUE(LEFT(Y146,1))*R146,0)</f>
        <v>0</v>
      </c>
      <c r="AA146" s="33">
        <f>IF($Z146&gt;0,VLOOKUP($J146,Ruimtegroepen[],3,FALSE)*VLOOKUP($L146,Vloersoorten[],3,FALSE)*VLOOKUP($Y146,Frequenties[],3,FALSE)*VLOOKUP(#REF!,Locaties[],3,FALSE),0)</f>
        <v>0</v>
      </c>
      <c r="AB146" s="33"/>
      <c r="AC146" s="33"/>
      <c r="AD146" s="33">
        <f>Ruimtestaat[[#This Row],[uren / jaar weekend]]*Tariefsopbouw!$D$40</f>
        <v>0</v>
      </c>
      <c r="AE146" s="86">
        <f>Ruimtestaat[[#This Row],[Prest. (m2 /jaar) weekend]]+Ruimtestaat[[#This Row],[Prest. (m2 /jaar) werkdagen]]</f>
        <v>231.00000000000003</v>
      </c>
      <c r="AF146" s="86">
        <f>Ruimtestaat[[#This Row],[uren / jaar weekend]]+Ruimtestaat[[#This Row],[uren / jaar werkdagen]]</f>
        <v>0</v>
      </c>
      <c r="AG146" s="87">
        <f>Ruimtestaat[[#This Row],[kosten / jaar weekend]]+Ruimtestaat[[#This Row],[kosten / jaar werkdagen]]</f>
        <v>0</v>
      </c>
    </row>
    <row r="147" spans="1:33" ht="15" customHeight="1">
      <c r="A147" s="246">
        <v>2</v>
      </c>
      <c r="B147" s="21" t="str">
        <f>VLOOKUP(Ruimtestaat[[#This Row],[Code]],Locaties[#All],2,FALSE)</f>
        <v>Losser</v>
      </c>
      <c r="C147" s="247" t="str">
        <f>VLOOKUP(Ruimtestaat[[#This Row],[Code]],Locaties[#All],4,FALSE)</f>
        <v>Oranjestraat 2</v>
      </c>
      <c r="D147" s="247" t="str">
        <f>VLOOKUP(Ruimtestaat[[#This Row],[Code]],Locaties[#All],5,FALSE)</f>
        <v>7607 BJ </v>
      </c>
      <c r="E147" s="187" t="str">
        <f>VLOOKUP(Ruimtestaat[[#This Row],[Code]],Locaties[#All],6,FALSE)</f>
        <v>Losser</v>
      </c>
      <c r="F147" s="248"/>
      <c r="G147" s="246" t="s">
        <v>679</v>
      </c>
      <c r="H147" s="246" t="s">
        <v>532</v>
      </c>
      <c r="I147" s="248" t="s">
        <v>1155</v>
      </c>
      <c r="J147" s="187">
        <v>5</v>
      </c>
      <c r="K147" s="187" t="str">
        <f>VLOOKUP(Ruimtestaat[[#This Row],[Ruimte code]],Ruimtegroepen[#All],2,FALSE)</f>
        <v>Sanitair</v>
      </c>
      <c r="L147" s="202" t="s">
        <v>108</v>
      </c>
      <c r="M147" s="249" t="s">
        <v>1206</v>
      </c>
      <c r="N147" s="200">
        <v>2.9</v>
      </c>
      <c r="O147" s="190"/>
      <c r="P147" s="231" t="str">
        <f>VLOOKUP(Ruimtestaat[[#This Row],[Ruimte code]],Ruimtegroepen[#All],4,FALSE)</f>
        <v>S  (Sanitair)</v>
      </c>
      <c r="Q147" s="201"/>
      <c r="R147" s="202">
        <v>42</v>
      </c>
      <c r="S147" s="202" t="s">
        <v>2</v>
      </c>
      <c r="T147" s="202">
        <f>IF(R147&gt;0,IF(RIGHT(Ruimtestaat[[#This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47" s="202">
        <f>IF(T147&gt;0,VLOOKUP($J147,Ruimtegroepen[],3,FALSE)*VLOOKUP($L147,Vloersoorten[],3,FALSE)*VLOOKUP($S147,Frequenties[],3,FALSE)*VLOOKUP($A147,Locaties[],3,FALSE),0)</f>
        <v>0</v>
      </c>
      <c r="V147" s="202">
        <f>Ruimtestaat[[#This Row],[Uitvoeringen werkdagen]]*Ruimtestaat[[#This Row],[Oppervlak (netto)]]</f>
        <v>609</v>
      </c>
      <c r="W147" s="242">
        <f>IF(U147&gt;0,Ruimtestaat[[#This Row],[Prest. (m2 /jaar) werkdagen]]/Ruimtestaat[[#This Row],[Norm (m2/uur) werkdagen]],0)</f>
        <v>0</v>
      </c>
      <c r="X147" s="243">
        <f>Ruimtestaat[[#This Row],[uren / jaar werkdagen]]*Tariefsopbouw!$D$38</f>
        <v>0</v>
      </c>
      <c r="Y147" s="33"/>
      <c r="Z147" s="33">
        <f>IF(Ruimtestaat[[#This Row],[Frequentie weekend]]&gt;0,VALUE(LEFT(Y147,1))*R147,0)</f>
        <v>0</v>
      </c>
      <c r="AA147" s="33">
        <f>IF($Z147&gt;0,VLOOKUP($J147,Ruimtegroepen[],3,FALSE)*VLOOKUP($L147,Vloersoorten[],3,FALSE)*VLOOKUP($Y147,Frequenties[],3,FALSE)*VLOOKUP(#REF!,Locaties[],3,FALSE),0)</f>
        <v>0</v>
      </c>
      <c r="AB147" s="33"/>
      <c r="AC147" s="33"/>
      <c r="AD147" s="33">
        <f>Ruimtestaat[[#This Row],[uren / jaar weekend]]*Tariefsopbouw!$D$40</f>
        <v>0</v>
      </c>
      <c r="AE147" s="86">
        <f>Ruimtestaat[[#This Row],[Prest. (m2 /jaar) weekend]]+Ruimtestaat[[#This Row],[Prest. (m2 /jaar) werkdagen]]</f>
        <v>609</v>
      </c>
      <c r="AF147" s="86">
        <f>Ruimtestaat[[#This Row],[uren / jaar weekend]]+Ruimtestaat[[#This Row],[uren / jaar werkdagen]]</f>
        <v>0</v>
      </c>
      <c r="AG147" s="87">
        <f>Ruimtestaat[[#This Row],[kosten / jaar weekend]]+Ruimtestaat[[#This Row],[kosten / jaar werkdagen]]</f>
        <v>0</v>
      </c>
    </row>
    <row r="148" spans="1:33" ht="15" customHeight="1">
      <c r="A148" s="246">
        <v>2</v>
      </c>
      <c r="B148" s="21" t="str">
        <f>VLOOKUP(Ruimtestaat[[#This Row],[Code]],Locaties[#All],2,FALSE)</f>
        <v>Losser</v>
      </c>
      <c r="C148" s="247" t="str">
        <f>VLOOKUP(Ruimtestaat[[#This Row],[Code]],Locaties[#All],4,FALSE)</f>
        <v>Oranjestraat 2</v>
      </c>
      <c r="D148" s="247" t="str">
        <f>VLOOKUP(Ruimtestaat[[#This Row],[Code]],Locaties[#All],5,FALSE)</f>
        <v>7607 BJ </v>
      </c>
      <c r="E148" s="187" t="str">
        <f>VLOOKUP(Ruimtestaat[[#This Row],[Code]],Locaties[#All],6,FALSE)</f>
        <v>Losser</v>
      </c>
      <c r="F148" s="248"/>
      <c r="G148" s="246" t="s">
        <v>679</v>
      </c>
      <c r="H148" s="246" t="s">
        <v>533</v>
      </c>
      <c r="I148" s="248" t="s">
        <v>409</v>
      </c>
      <c r="J148" s="187">
        <v>20</v>
      </c>
      <c r="K148" s="187" t="str">
        <f>VLOOKUP(Ruimtestaat[[#This Row],[Ruimte code]],Ruimtegroepen[#All],2,FALSE)</f>
        <v>Niet in onderhoud</v>
      </c>
      <c r="L148" s="202" t="s">
        <v>108</v>
      </c>
      <c r="M148" s="249" t="s">
        <v>1206</v>
      </c>
      <c r="N148" s="200"/>
      <c r="O148" s="190"/>
      <c r="P148" s="231" t="str">
        <f>VLOOKUP(Ruimtestaat[[#This Row],[Ruimte code]],Ruimtegroepen[#All],4,FALSE)</f>
        <v>V  (Verkeersruimte)</v>
      </c>
      <c r="Q148" s="201"/>
      <c r="R148" s="202"/>
      <c r="S148" s="202"/>
      <c r="T148" s="202">
        <f>IF(R148&gt;0,IF(RIGHT(Ruimtestaat[[#This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148" s="202">
        <f>IF(T148&gt;0,VLOOKUP($J148,Ruimtegroepen[],3,FALSE)*VLOOKUP($L148,Vloersoorten[],3,FALSE)*VLOOKUP($S148,Frequenties[],3,FALSE)*VLOOKUP($A148,Locaties[],3,FALSE),0)</f>
        <v>0</v>
      </c>
      <c r="V148" s="202">
        <f>Ruimtestaat[[#This Row],[Uitvoeringen werkdagen]]*Ruimtestaat[[#This Row],[Oppervlak (netto)]]</f>
        <v>0</v>
      </c>
      <c r="W148" s="242">
        <f>IF(U148&gt;0,Ruimtestaat[[#This Row],[Prest. (m2 /jaar) werkdagen]]/Ruimtestaat[[#This Row],[Norm (m2/uur) werkdagen]],0)</f>
        <v>0</v>
      </c>
      <c r="X148" s="243">
        <f>Ruimtestaat[[#This Row],[uren / jaar werkdagen]]*Tariefsopbouw!$D$38</f>
        <v>0</v>
      </c>
      <c r="Y148" s="33"/>
      <c r="Z148" s="33">
        <f>IF(Ruimtestaat[[#This Row],[Frequentie weekend]]&gt;0,VALUE(LEFT(Y148,1))*R148,0)</f>
        <v>0</v>
      </c>
      <c r="AA148" s="33">
        <f>IF($Z148&gt;0,VLOOKUP($J148,Ruimtegroepen[],3,FALSE)*VLOOKUP($L148,Vloersoorten[],3,FALSE)*VLOOKUP($Y148,Frequenties[],3,FALSE)*VLOOKUP(#REF!,Locaties[],3,FALSE),0)</f>
        <v>0</v>
      </c>
      <c r="AB148" s="33"/>
      <c r="AC148" s="33"/>
      <c r="AD148" s="33">
        <f>Ruimtestaat[[#This Row],[uren / jaar weekend]]*Tariefsopbouw!$D$40</f>
        <v>0</v>
      </c>
      <c r="AE148" s="86">
        <f>Ruimtestaat[[#This Row],[Prest. (m2 /jaar) weekend]]+Ruimtestaat[[#This Row],[Prest. (m2 /jaar) werkdagen]]</f>
        <v>0</v>
      </c>
      <c r="AF148" s="86">
        <f>Ruimtestaat[[#This Row],[uren / jaar weekend]]+Ruimtestaat[[#This Row],[uren / jaar werkdagen]]</f>
        <v>0</v>
      </c>
      <c r="AG148" s="87">
        <f>Ruimtestaat[[#This Row],[kosten / jaar weekend]]+Ruimtestaat[[#This Row],[kosten / jaar werkdagen]]</f>
        <v>0</v>
      </c>
    </row>
    <row r="149" spans="1:33" ht="15" customHeight="1">
      <c r="A149" s="246">
        <v>2</v>
      </c>
      <c r="B149" s="21" t="str">
        <f>VLOOKUP(Ruimtestaat[[#This Row],[Code]],Locaties[#All],2,FALSE)</f>
        <v>Losser</v>
      </c>
      <c r="C149" s="247" t="str">
        <f>VLOOKUP(Ruimtestaat[[#This Row],[Code]],Locaties[#All],4,FALSE)</f>
        <v>Oranjestraat 2</v>
      </c>
      <c r="D149" s="247" t="str">
        <f>VLOOKUP(Ruimtestaat[[#This Row],[Code]],Locaties[#All],5,FALSE)</f>
        <v>7607 BJ </v>
      </c>
      <c r="E149" s="187" t="str">
        <f>VLOOKUP(Ruimtestaat[[#This Row],[Code]],Locaties[#All],6,FALSE)</f>
        <v>Losser</v>
      </c>
      <c r="F149" s="248"/>
      <c r="G149" s="246" t="s">
        <v>679</v>
      </c>
      <c r="H149" s="246" t="s">
        <v>534</v>
      </c>
      <c r="I149" s="248" t="s">
        <v>1168</v>
      </c>
      <c r="J149" s="187">
        <v>6</v>
      </c>
      <c r="K149" s="187" t="str">
        <f>VLOOKUP(Ruimtestaat[[#This Row],[Ruimte code]],Ruimtegroepen[#All],2,FALSE)</f>
        <v>Gangen/hallen</v>
      </c>
      <c r="L149" s="187" t="s">
        <v>109</v>
      </c>
      <c r="M149" s="249" t="s">
        <v>1203</v>
      </c>
      <c r="N149" s="200">
        <v>3.7</v>
      </c>
      <c r="O149" s="190"/>
      <c r="P149" s="231" t="str">
        <f>VLOOKUP(Ruimtestaat[[#This Row],[Ruimte code]],Ruimtegroepen[#All],4,FALSE)</f>
        <v>V  (Verkeersruimte)</v>
      </c>
      <c r="Q149" s="201"/>
      <c r="R149" s="202">
        <v>42</v>
      </c>
      <c r="S149" s="202" t="s">
        <v>2</v>
      </c>
      <c r="T149" s="202">
        <f>IF(R149&gt;0,IF(RIGHT(Ruimtestaat[[#This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49" s="202">
        <f>IF(T149&gt;0,VLOOKUP($J149,Ruimtegroepen[],3,FALSE)*VLOOKUP($L149,Vloersoorten[],3,FALSE)*VLOOKUP($S149,Frequenties[],3,FALSE)*VLOOKUP($A149,Locaties[],3,FALSE),0)</f>
        <v>0</v>
      </c>
      <c r="V149" s="202">
        <f>Ruimtestaat[[#This Row],[Uitvoeringen werkdagen]]*Ruimtestaat[[#This Row],[Oppervlak (netto)]]</f>
        <v>777</v>
      </c>
      <c r="W149" s="242">
        <f>IF(U149&gt;0,Ruimtestaat[[#This Row],[Prest. (m2 /jaar) werkdagen]]/Ruimtestaat[[#This Row],[Norm (m2/uur) werkdagen]],0)</f>
        <v>0</v>
      </c>
      <c r="X149" s="243">
        <f>Ruimtestaat[[#This Row],[uren / jaar werkdagen]]*Tariefsopbouw!$D$38</f>
        <v>0</v>
      </c>
      <c r="Y149" s="33"/>
      <c r="Z149" s="33">
        <f>IF(Ruimtestaat[[#This Row],[Frequentie weekend]]&gt;0,VALUE(LEFT(Y149,1))*R149,0)</f>
        <v>0</v>
      </c>
      <c r="AA149" s="33">
        <f>IF($Z149&gt;0,VLOOKUP($J149,Ruimtegroepen[],3,FALSE)*VLOOKUP($L149,Vloersoorten[],3,FALSE)*VLOOKUP($Y149,Frequenties[],3,FALSE)*VLOOKUP(#REF!,Locaties[],3,FALSE),0)</f>
        <v>0</v>
      </c>
      <c r="AB149" s="33"/>
      <c r="AC149" s="33"/>
      <c r="AD149" s="33">
        <f>Ruimtestaat[[#This Row],[uren / jaar weekend]]*Tariefsopbouw!$D$40</f>
        <v>0</v>
      </c>
      <c r="AE149" s="86">
        <f>Ruimtestaat[[#This Row],[Prest. (m2 /jaar) weekend]]+Ruimtestaat[[#This Row],[Prest. (m2 /jaar) werkdagen]]</f>
        <v>777</v>
      </c>
      <c r="AF149" s="86">
        <f>Ruimtestaat[[#This Row],[uren / jaar weekend]]+Ruimtestaat[[#This Row],[uren / jaar werkdagen]]</f>
        <v>0</v>
      </c>
      <c r="AG149" s="87">
        <f>Ruimtestaat[[#This Row],[kosten / jaar weekend]]+Ruimtestaat[[#This Row],[kosten / jaar werkdagen]]</f>
        <v>0</v>
      </c>
    </row>
    <row r="150" spans="1:33" ht="15" customHeight="1">
      <c r="A150" s="246">
        <v>2</v>
      </c>
      <c r="B150" s="21" t="str">
        <f>VLOOKUP(Ruimtestaat[[#This Row],[Code]],Locaties[#All],2,FALSE)</f>
        <v>Losser</v>
      </c>
      <c r="C150" s="247" t="str">
        <f>VLOOKUP(Ruimtestaat[[#This Row],[Code]],Locaties[#All],4,FALSE)</f>
        <v>Oranjestraat 2</v>
      </c>
      <c r="D150" s="247" t="str">
        <f>VLOOKUP(Ruimtestaat[[#This Row],[Code]],Locaties[#All],5,FALSE)</f>
        <v>7607 BJ </v>
      </c>
      <c r="E150" s="187" t="str">
        <f>VLOOKUP(Ruimtestaat[[#This Row],[Code]],Locaties[#All],6,FALSE)</f>
        <v>Losser</v>
      </c>
      <c r="F150" s="248"/>
      <c r="G150" s="246" t="s">
        <v>679</v>
      </c>
      <c r="H150" s="246" t="s">
        <v>594</v>
      </c>
      <c r="I150" s="248" t="s">
        <v>588</v>
      </c>
      <c r="J150" s="187">
        <v>10</v>
      </c>
      <c r="K150" s="187" t="str">
        <f>VLOOKUP(Ruimtestaat[[#This Row],[Ruimte code]],Ruimtegroepen[#All],2,FALSE)</f>
        <v>Trappenhuizen/lift</v>
      </c>
      <c r="L150" s="187" t="s">
        <v>109</v>
      </c>
      <c r="M150" s="249" t="s">
        <v>1203</v>
      </c>
      <c r="N150" s="200">
        <v>4.5</v>
      </c>
      <c r="O150" s="190"/>
      <c r="P150" s="231" t="str">
        <f>VLOOKUP(Ruimtestaat[[#This Row],[Ruimte code]],Ruimtegroepen[#All],4,FALSE)</f>
        <v>V  (Verkeersruimte)</v>
      </c>
      <c r="Q150" s="201"/>
      <c r="R150" s="202">
        <v>42</v>
      </c>
      <c r="S150" s="202" t="s">
        <v>2</v>
      </c>
      <c r="T150" s="202">
        <f>IF(R150&gt;0,IF(RIGHT(Ruimtestaat[[#This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50" s="202">
        <f>IF(T150&gt;0,VLOOKUP($J150,Ruimtegroepen[],3,FALSE)*VLOOKUP($L150,Vloersoorten[],3,FALSE)*VLOOKUP($S150,Frequenties[],3,FALSE)*VLOOKUP($A150,Locaties[],3,FALSE),0)</f>
        <v>0</v>
      </c>
      <c r="V150" s="202">
        <f>Ruimtestaat[[#This Row],[Uitvoeringen werkdagen]]*Ruimtestaat[[#This Row],[Oppervlak (netto)]]</f>
        <v>945</v>
      </c>
      <c r="W150" s="242">
        <f>IF(U150&gt;0,Ruimtestaat[[#This Row],[Prest. (m2 /jaar) werkdagen]]/Ruimtestaat[[#This Row],[Norm (m2/uur) werkdagen]],0)</f>
        <v>0</v>
      </c>
      <c r="X150" s="243">
        <f>Ruimtestaat[[#This Row],[uren / jaar werkdagen]]*Tariefsopbouw!$D$38</f>
        <v>0</v>
      </c>
      <c r="Y150" s="33"/>
      <c r="Z150" s="33">
        <f>IF(Ruimtestaat[[#This Row],[Frequentie weekend]]&gt;0,VALUE(LEFT(Y150,1))*R150,0)</f>
        <v>0</v>
      </c>
      <c r="AA150" s="33">
        <f>IF($Z150&gt;0,VLOOKUP($J150,Ruimtegroepen[],3,FALSE)*VLOOKUP($L150,Vloersoorten[],3,FALSE)*VLOOKUP($Y150,Frequenties[],3,FALSE)*VLOOKUP(#REF!,Locaties[],3,FALSE),0)</f>
        <v>0</v>
      </c>
      <c r="AB150" s="33"/>
      <c r="AC150" s="33"/>
      <c r="AD150" s="33">
        <f>Ruimtestaat[[#This Row],[uren / jaar weekend]]*Tariefsopbouw!$D$40</f>
        <v>0</v>
      </c>
      <c r="AE150" s="86">
        <f>Ruimtestaat[[#This Row],[Prest. (m2 /jaar) weekend]]+Ruimtestaat[[#This Row],[Prest. (m2 /jaar) werkdagen]]</f>
        <v>945</v>
      </c>
      <c r="AF150" s="86">
        <f>Ruimtestaat[[#This Row],[uren / jaar weekend]]+Ruimtestaat[[#This Row],[uren / jaar werkdagen]]</f>
        <v>0</v>
      </c>
      <c r="AG150" s="87">
        <f>Ruimtestaat[[#This Row],[kosten / jaar weekend]]+Ruimtestaat[[#This Row],[kosten / jaar werkdagen]]</f>
        <v>0</v>
      </c>
    </row>
    <row r="151" spans="1:33" ht="15" customHeight="1">
      <c r="A151" s="246">
        <v>2</v>
      </c>
      <c r="B151" s="21" t="str">
        <f>VLOOKUP(Ruimtestaat[[#This Row],[Code]],Locaties[#All],2,FALSE)</f>
        <v>Losser</v>
      </c>
      <c r="C151" s="247" t="str">
        <f>VLOOKUP(Ruimtestaat[[#This Row],[Code]],Locaties[#All],4,FALSE)</f>
        <v>Oranjestraat 2</v>
      </c>
      <c r="D151" s="247" t="str">
        <f>VLOOKUP(Ruimtestaat[[#This Row],[Code]],Locaties[#All],5,FALSE)</f>
        <v>7607 BJ </v>
      </c>
      <c r="E151" s="187" t="str">
        <f>VLOOKUP(Ruimtestaat[[#This Row],[Code]],Locaties[#All],6,FALSE)</f>
        <v>Losser</v>
      </c>
      <c r="F151" s="248"/>
      <c r="G151" s="246" t="s">
        <v>679</v>
      </c>
      <c r="H151" s="246" t="s">
        <v>535</v>
      </c>
      <c r="I151" s="248" t="s">
        <v>549</v>
      </c>
      <c r="J151" s="187">
        <v>6</v>
      </c>
      <c r="K151" s="187" t="str">
        <f>VLOOKUP(Ruimtestaat[[#This Row],[Ruimte code]],Ruimtegroepen[#All],2,FALSE)</f>
        <v>Gangen/hallen</v>
      </c>
      <c r="L151" s="187" t="s">
        <v>109</v>
      </c>
      <c r="M151" s="249" t="s">
        <v>1203</v>
      </c>
      <c r="N151" s="200">
        <v>28.69</v>
      </c>
      <c r="O151" s="190"/>
      <c r="P151" s="231" t="str">
        <f>VLOOKUP(Ruimtestaat[[#This Row],[Ruimte code]],Ruimtegroepen[#All],4,FALSE)</f>
        <v>V  (Verkeersruimte)</v>
      </c>
      <c r="Q151" s="201"/>
      <c r="R151" s="202">
        <v>42</v>
      </c>
      <c r="S151" s="202" t="s">
        <v>2</v>
      </c>
      <c r="T151" s="202">
        <f>IF(R151&gt;0,IF(RIGHT(Ruimtestaat[[#This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51" s="202">
        <f>IF(T151&gt;0,VLOOKUP($J151,Ruimtegroepen[],3,FALSE)*VLOOKUP($L151,Vloersoorten[],3,FALSE)*VLOOKUP($S151,Frequenties[],3,FALSE)*VLOOKUP($A151,Locaties[],3,FALSE),0)</f>
        <v>0</v>
      </c>
      <c r="V151" s="202">
        <f>Ruimtestaat[[#This Row],[Uitvoeringen werkdagen]]*Ruimtestaat[[#This Row],[Oppervlak (netto)]]</f>
        <v>6024.9000000000005</v>
      </c>
      <c r="W151" s="242">
        <f>IF(U151&gt;0,Ruimtestaat[[#This Row],[Prest. (m2 /jaar) werkdagen]]/Ruimtestaat[[#This Row],[Norm (m2/uur) werkdagen]],0)</f>
        <v>0</v>
      </c>
      <c r="X151" s="243">
        <f>Ruimtestaat[[#This Row],[uren / jaar werkdagen]]*Tariefsopbouw!$D$38</f>
        <v>0</v>
      </c>
      <c r="Y151" s="33"/>
      <c r="Z151" s="33">
        <f>IF(Ruimtestaat[[#This Row],[Frequentie weekend]]&gt;0,VALUE(LEFT(Y151,1))*R151,0)</f>
        <v>0</v>
      </c>
      <c r="AA151" s="33">
        <f>IF($Z151&gt;0,VLOOKUP($J151,Ruimtegroepen[],3,FALSE)*VLOOKUP($L151,Vloersoorten[],3,FALSE)*VLOOKUP($Y151,Frequenties[],3,FALSE)*VLOOKUP(#REF!,Locaties[],3,FALSE),0)</f>
        <v>0</v>
      </c>
      <c r="AB151" s="33"/>
      <c r="AC151" s="33"/>
      <c r="AD151" s="33">
        <f>Ruimtestaat[[#This Row],[uren / jaar weekend]]*Tariefsopbouw!$D$40</f>
        <v>0</v>
      </c>
      <c r="AE151" s="86">
        <f>Ruimtestaat[[#This Row],[Prest. (m2 /jaar) weekend]]+Ruimtestaat[[#This Row],[Prest. (m2 /jaar) werkdagen]]</f>
        <v>6024.9000000000005</v>
      </c>
      <c r="AF151" s="86">
        <f>Ruimtestaat[[#This Row],[uren / jaar weekend]]+Ruimtestaat[[#This Row],[uren / jaar werkdagen]]</f>
        <v>0</v>
      </c>
      <c r="AG151" s="87">
        <f>Ruimtestaat[[#This Row],[kosten / jaar weekend]]+Ruimtestaat[[#This Row],[kosten / jaar werkdagen]]</f>
        <v>0</v>
      </c>
    </row>
    <row r="152" spans="1:33" ht="15" customHeight="1">
      <c r="A152" s="246">
        <v>2</v>
      </c>
      <c r="B152" s="21" t="str">
        <f>VLOOKUP(Ruimtestaat[[#This Row],[Code]],Locaties[#All],2,FALSE)</f>
        <v>Losser</v>
      </c>
      <c r="C152" s="247" t="str">
        <f>VLOOKUP(Ruimtestaat[[#This Row],[Code]],Locaties[#All],4,FALSE)</f>
        <v>Oranjestraat 2</v>
      </c>
      <c r="D152" s="247" t="str">
        <f>VLOOKUP(Ruimtestaat[[#This Row],[Code]],Locaties[#All],5,FALSE)</f>
        <v>7607 BJ </v>
      </c>
      <c r="E152" s="187" t="str">
        <f>VLOOKUP(Ruimtestaat[[#This Row],[Code]],Locaties[#All],6,FALSE)</f>
        <v>Losser</v>
      </c>
      <c r="F152" s="248"/>
      <c r="G152" s="246" t="s">
        <v>679</v>
      </c>
      <c r="H152" s="246" t="s">
        <v>536</v>
      </c>
      <c r="I152" s="248" t="s">
        <v>1169</v>
      </c>
      <c r="J152" s="187">
        <v>4</v>
      </c>
      <c r="K152" s="187" t="str">
        <f>VLOOKUP(Ruimtestaat[[#This Row],[Ruimte code]],Ruimtegroepen[#All],2,FALSE)</f>
        <v>Vergader/spreekkamers</v>
      </c>
      <c r="L152" s="187" t="s">
        <v>109</v>
      </c>
      <c r="M152" s="249" t="s">
        <v>1203</v>
      </c>
      <c r="N152" s="200">
        <v>15.1</v>
      </c>
      <c r="O152" s="190"/>
      <c r="P152" s="231" t="str">
        <f>VLOOKUP(Ruimtestaat[[#This Row],[Ruimte code]],Ruimtegroepen[#All],4,FALSE)</f>
        <v>B  (Bureauruimte)</v>
      </c>
      <c r="Q152" s="201"/>
      <c r="R152" s="202">
        <v>42</v>
      </c>
      <c r="S152" s="202" t="s">
        <v>2</v>
      </c>
      <c r="T152" s="202">
        <f>IF(R152&gt;0,IF(RIGHT(Ruimtestaat[[#This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52" s="202">
        <f>IF(T152&gt;0,VLOOKUP($J152,Ruimtegroepen[],3,FALSE)*VLOOKUP($L152,Vloersoorten[],3,FALSE)*VLOOKUP($S152,Frequenties[],3,FALSE)*VLOOKUP($A152,Locaties[],3,FALSE),0)</f>
        <v>0</v>
      </c>
      <c r="V152" s="202">
        <f>Ruimtestaat[[#This Row],[Uitvoeringen werkdagen]]*Ruimtestaat[[#This Row],[Oppervlak (netto)]]</f>
        <v>3171</v>
      </c>
      <c r="W152" s="242">
        <f>IF(U152&gt;0,Ruimtestaat[[#This Row],[Prest. (m2 /jaar) werkdagen]]/Ruimtestaat[[#This Row],[Norm (m2/uur) werkdagen]],0)</f>
        <v>0</v>
      </c>
      <c r="X152" s="243">
        <f>Ruimtestaat[[#This Row],[uren / jaar werkdagen]]*Tariefsopbouw!$D$38</f>
        <v>0</v>
      </c>
      <c r="Y152" s="33"/>
      <c r="Z152" s="33">
        <f>IF(Ruimtestaat[[#This Row],[Frequentie weekend]]&gt;0,VALUE(LEFT(Y152,1))*R152,0)</f>
        <v>0</v>
      </c>
      <c r="AA152" s="33">
        <f>IF($Z152&gt;0,VLOOKUP($J152,Ruimtegroepen[],3,FALSE)*VLOOKUP($L152,Vloersoorten[],3,FALSE)*VLOOKUP($Y152,Frequenties[],3,FALSE)*VLOOKUP(#REF!,Locaties[],3,FALSE),0)</f>
        <v>0</v>
      </c>
      <c r="AB152" s="33"/>
      <c r="AC152" s="33"/>
      <c r="AD152" s="33">
        <f>Ruimtestaat[[#This Row],[uren / jaar weekend]]*Tariefsopbouw!$D$40</f>
        <v>0</v>
      </c>
      <c r="AE152" s="86">
        <f>Ruimtestaat[[#This Row],[Prest. (m2 /jaar) weekend]]+Ruimtestaat[[#This Row],[Prest. (m2 /jaar) werkdagen]]</f>
        <v>3171</v>
      </c>
      <c r="AF152" s="86">
        <f>Ruimtestaat[[#This Row],[uren / jaar weekend]]+Ruimtestaat[[#This Row],[uren / jaar werkdagen]]</f>
        <v>0</v>
      </c>
      <c r="AG152" s="87">
        <f>Ruimtestaat[[#This Row],[kosten / jaar weekend]]+Ruimtestaat[[#This Row],[kosten / jaar werkdagen]]</f>
        <v>0</v>
      </c>
    </row>
    <row r="153" spans="1:33" ht="15" customHeight="1">
      <c r="A153" s="246">
        <v>2</v>
      </c>
      <c r="B153" s="21" t="str">
        <f>VLOOKUP(Ruimtestaat[[#This Row],[Code]],Locaties[#All],2,FALSE)</f>
        <v>Losser</v>
      </c>
      <c r="C153" s="247" t="str">
        <f>VLOOKUP(Ruimtestaat[[#This Row],[Code]],Locaties[#All],4,FALSE)</f>
        <v>Oranjestraat 2</v>
      </c>
      <c r="D153" s="247" t="str">
        <f>VLOOKUP(Ruimtestaat[[#This Row],[Code]],Locaties[#All],5,FALSE)</f>
        <v>7607 BJ </v>
      </c>
      <c r="E153" s="187" t="str">
        <f>VLOOKUP(Ruimtestaat[[#This Row],[Code]],Locaties[#All],6,FALSE)</f>
        <v>Losser</v>
      </c>
      <c r="F153" s="248"/>
      <c r="G153" s="246" t="s">
        <v>679</v>
      </c>
      <c r="H153" s="246" t="s">
        <v>538</v>
      </c>
      <c r="I153" s="248" t="s">
        <v>539</v>
      </c>
      <c r="J153" s="187">
        <v>15</v>
      </c>
      <c r="K153" s="187" t="str">
        <f>VLOOKUP(Ruimtestaat[[#This Row],[Ruimte code]],Ruimtegroepen[#All],2,FALSE)</f>
        <v>Keuken/pantry/rookruimte</v>
      </c>
      <c r="L153" s="187" t="s">
        <v>109</v>
      </c>
      <c r="M153" s="249" t="s">
        <v>1203</v>
      </c>
      <c r="N153" s="200">
        <v>15.3</v>
      </c>
      <c r="O153" s="190"/>
      <c r="P153" s="231" t="str">
        <f>VLOOKUP(Ruimtestaat[[#This Row],[Ruimte code]],Ruimtegroepen[#All],4,FALSE)</f>
        <v>V  (Verkeersruimte)</v>
      </c>
      <c r="Q153" s="201"/>
      <c r="R153" s="202">
        <v>42</v>
      </c>
      <c r="S153" s="202" t="s">
        <v>2</v>
      </c>
      <c r="T153" s="202">
        <f>IF(R153&gt;0,IF(RIGHT(Ruimtestaat[[#This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53" s="202">
        <f>IF(T153&gt;0,VLOOKUP($J153,Ruimtegroepen[],3,FALSE)*VLOOKUP($L153,Vloersoorten[],3,FALSE)*VLOOKUP($S153,Frequenties[],3,FALSE)*VLOOKUP($A153,Locaties[],3,FALSE),0)</f>
        <v>0</v>
      </c>
      <c r="V153" s="202">
        <f>Ruimtestaat[[#This Row],[Uitvoeringen werkdagen]]*Ruimtestaat[[#This Row],[Oppervlak (netto)]]</f>
        <v>3213</v>
      </c>
      <c r="W153" s="242">
        <f>IF(U153&gt;0,Ruimtestaat[[#This Row],[Prest. (m2 /jaar) werkdagen]]/Ruimtestaat[[#This Row],[Norm (m2/uur) werkdagen]],0)</f>
        <v>0</v>
      </c>
      <c r="X153" s="243">
        <f>Ruimtestaat[[#This Row],[uren / jaar werkdagen]]*Tariefsopbouw!$D$38</f>
        <v>0</v>
      </c>
      <c r="Y153" s="33"/>
      <c r="Z153" s="33">
        <f>IF(Ruimtestaat[[#This Row],[Frequentie weekend]]&gt;0,VALUE(LEFT(Y153,1))*R153,0)</f>
        <v>0</v>
      </c>
      <c r="AA153" s="33">
        <f>IF($Z153&gt;0,VLOOKUP($J153,Ruimtegroepen[],3,FALSE)*VLOOKUP($L153,Vloersoorten[],3,FALSE)*VLOOKUP($Y153,Frequenties[],3,FALSE)*VLOOKUP(#REF!,Locaties[],3,FALSE),0)</f>
        <v>0</v>
      </c>
      <c r="AB153" s="33"/>
      <c r="AC153" s="33"/>
      <c r="AD153" s="33">
        <f>Ruimtestaat[[#This Row],[uren / jaar weekend]]*Tariefsopbouw!$D$40</f>
        <v>0</v>
      </c>
      <c r="AE153" s="86">
        <f>Ruimtestaat[[#This Row],[Prest. (m2 /jaar) weekend]]+Ruimtestaat[[#This Row],[Prest. (m2 /jaar) werkdagen]]</f>
        <v>3213</v>
      </c>
      <c r="AF153" s="86">
        <f>Ruimtestaat[[#This Row],[uren / jaar weekend]]+Ruimtestaat[[#This Row],[uren / jaar werkdagen]]</f>
        <v>0</v>
      </c>
      <c r="AG153" s="87">
        <f>Ruimtestaat[[#This Row],[kosten / jaar weekend]]+Ruimtestaat[[#This Row],[kosten / jaar werkdagen]]</f>
        <v>0</v>
      </c>
    </row>
    <row r="154" spans="1:33" ht="15" customHeight="1">
      <c r="A154" s="246">
        <v>2</v>
      </c>
      <c r="B154" s="21" t="str">
        <f>VLOOKUP(Ruimtestaat[[#This Row],[Code]],Locaties[#All],2,FALSE)</f>
        <v>Losser</v>
      </c>
      <c r="C154" s="247" t="str">
        <f>VLOOKUP(Ruimtestaat[[#This Row],[Code]],Locaties[#All],4,FALSE)</f>
        <v>Oranjestraat 2</v>
      </c>
      <c r="D154" s="247" t="str">
        <f>VLOOKUP(Ruimtestaat[[#This Row],[Code]],Locaties[#All],5,FALSE)</f>
        <v>7607 BJ </v>
      </c>
      <c r="E154" s="187" t="str">
        <f>VLOOKUP(Ruimtestaat[[#This Row],[Code]],Locaties[#All],6,FALSE)</f>
        <v>Losser</v>
      </c>
      <c r="F154" s="248"/>
      <c r="G154" s="246" t="s">
        <v>679</v>
      </c>
      <c r="H154" s="246" t="s">
        <v>540</v>
      </c>
      <c r="I154" s="248" t="s">
        <v>676</v>
      </c>
      <c r="J154" s="247">
        <v>3</v>
      </c>
      <c r="K154" s="247" t="str">
        <f>VLOOKUP(Ruimtestaat[[#This Row],[Ruimte code]],Ruimtegroepen[#All],2,FALSE)</f>
        <v>Reproruimte</v>
      </c>
      <c r="L154" s="187" t="s">
        <v>109</v>
      </c>
      <c r="M154" s="249" t="s">
        <v>1203</v>
      </c>
      <c r="N154" s="200">
        <v>14.2</v>
      </c>
      <c r="O154" s="190"/>
      <c r="P154" s="231" t="str">
        <f>VLOOKUP(Ruimtestaat[[#This Row],[Ruimte code]],Ruimtegroepen[#All],4,FALSE)</f>
        <v>V  (Verkeersruimte)</v>
      </c>
      <c r="Q154" s="201"/>
      <c r="R154" s="202">
        <v>42</v>
      </c>
      <c r="S154" s="202" t="s">
        <v>2</v>
      </c>
      <c r="T154" s="202">
        <f>IF(R154&gt;0,IF(RIGHT(Ruimtestaat[[#This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54" s="202">
        <f>IF(T154&gt;0,VLOOKUP($J154,Ruimtegroepen[],3,FALSE)*VLOOKUP($L154,Vloersoorten[],3,FALSE)*VLOOKUP($S154,Frequenties[],3,FALSE)*VLOOKUP($A154,Locaties[],3,FALSE),0)</f>
        <v>0</v>
      </c>
      <c r="V154" s="202">
        <f>Ruimtestaat[[#This Row],[Uitvoeringen werkdagen]]*Ruimtestaat[[#This Row],[Oppervlak (netto)]]</f>
        <v>2982</v>
      </c>
      <c r="W154" s="242">
        <f>IF(U154&gt;0,Ruimtestaat[[#This Row],[Prest. (m2 /jaar) werkdagen]]/Ruimtestaat[[#This Row],[Norm (m2/uur) werkdagen]],0)</f>
        <v>0</v>
      </c>
      <c r="X154" s="243">
        <f>Ruimtestaat[[#This Row],[uren / jaar werkdagen]]*Tariefsopbouw!$D$38</f>
        <v>0</v>
      </c>
      <c r="Y154" s="33"/>
      <c r="Z154" s="33">
        <f>IF(Ruimtestaat[[#This Row],[Frequentie weekend]]&gt;0,VALUE(LEFT(Y154,1))*R154,0)</f>
        <v>0</v>
      </c>
      <c r="AA154" s="33">
        <f>IF($Z154&gt;0,VLOOKUP($J154,Ruimtegroepen[],3,FALSE)*VLOOKUP($L154,Vloersoorten[],3,FALSE)*VLOOKUP($Y154,Frequenties[],3,FALSE)*VLOOKUP(#REF!,Locaties[],3,FALSE),0)</f>
        <v>0</v>
      </c>
      <c r="AB154" s="33"/>
      <c r="AC154" s="33"/>
      <c r="AD154" s="33">
        <f>Ruimtestaat[[#This Row],[uren / jaar weekend]]*Tariefsopbouw!$D$40</f>
        <v>0</v>
      </c>
      <c r="AE154" s="86">
        <f>Ruimtestaat[[#This Row],[Prest. (m2 /jaar) weekend]]+Ruimtestaat[[#This Row],[Prest. (m2 /jaar) werkdagen]]</f>
        <v>2982</v>
      </c>
      <c r="AF154" s="86">
        <f>Ruimtestaat[[#This Row],[uren / jaar weekend]]+Ruimtestaat[[#This Row],[uren / jaar werkdagen]]</f>
        <v>0</v>
      </c>
      <c r="AG154" s="87">
        <f>Ruimtestaat[[#This Row],[kosten / jaar weekend]]+Ruimtestaat[[#This Row],[kosten / jaar werkdagen]]</f>
        <v>0</v>
      </c>
    </row>
    <row r="155" spans="1:33" ht="15" customHeight="1">
      <c r="A155" s="246">
        <v>2</v>
      </c>
      <c r="B155" s="21" t="str">
        <f>VLOOKUP(Ruimtestaat[[#This Row],[Code]],Locaties[#All],2,FALSE)</f>
        <v>Losser</v>
      </c>
      <c r="C155" s="247" t="str">
        <f>VLOOKUP(Ruimtestaat[[#This Row],[Code]],Locaties[#All],4,FALSE)</f>
        <v>Oranjestraat 2</v>
      </c>
      <c r="D155" s="247" t="str">
        <f>VLOOKUP(Ruimtestaat[[#This Row],[Code]],Locaties[#All],5,FALSE)</f>
        <v>7607 BJ </v>
      </c>
      <c r="E155" s="187" t="str">
        <f>VLOOKUP(Ruimtestaat[[#This Row],[Code]],Locaties[#All],6,FALSE)</f>
        <v>Losser</v>
      </c>
      <c r="F155" s="248"/>
      <c r="G155" s="246" t="s">
        <v>679</v>
      </c>
      <c r="H155" s="246" t="s">
        <v>541</v>
      </c>
      <c r="I155" s="248" t="s">
        <v>523</v>
      </c>
      <c r="J155" s="187">
        <v>1</v>
      </c>
      <c r="K155" s="187" t="str">
        <f>VLOOKUP(Ruimtestaat[[#This Row],[Ruimte code]],Ruimtegroepen[#All],2,FALSE)</f>
        <v>Magazijnen/bergingen</v>
      </c>
      <c r="L155" s="187" t="s">
        <v>109</v>
      </c>
      <c r="M155" s="249" t="s">
        <v>1203</v>
      </c>
      <c r="N155" s="200">
        <v>15.9</v>
      </c>
      <c r="O155" s="190"/>
      <c r="P155" s="231" t="str">
        <f>VLOOKUP(Ruimtestaat[[#This Row],[Ruimte code]],Ruimtegroepen[#All],4,FALSE)</f>
        <v>V  (Verkeersruimte)</v>
      </c>
      <c r="Q155" s="201"/>
      <c r="R155" s="202">
        <v>42</v>
      </c>
      <c r="S155" s="202" t="s">
        <v>15</v>
      </c>
      <c r="T155" s="202">
        <f>IF(R155&gt;0,IF(RIGHT(Ruimtestaat[[#This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155" s="202">
        <f>IF(T155&gt;0,VLOOKUP($J155,Ruimtegroepen[],3,FALSE)*VLOOKUP($L155,Vloersoorten[],3,FALSE)*VLOOKUP($S155,Frequenties[],3,FALSE)*VLOOKUP($A155,Locaties[],3,FALSE),0)</f>
        <v>0</v>
      </c>
      <c r="V155" s="202">
        <f>Ruimtestaat[[#This Row],[Uitvoeringen werkdagen]]*Ruimtestaat[[#This Row],[Oppervlak (netto)]]</f>
        <v>667.80000000000007</v>
      </c>
      <c r="W155" s="242">
        <f>IF(U155&gt;0,Ruimtestaat[[#This Row],[Prest. (m2 /jaar) werkdagen]]/Ruimtestaat[[#This Row],[Norm (m2/uur) werkdagen]],0)</f>
        <v>0</v>
      </c>
      <c r="X155" s="243">
        <f>Ruimtestaat[[#This Row],[uren / jaar werkdagen]]*Tariefsopbouw!$D$38</f>
        <v>0</v>
      </c>
      <c r="Y155" s="33"/>
      <c r="Z155" s="33">
        <f>IF(Ruimtestaat[[#This Row],[Frequentie weekend]]&gt;0,VALUE(LEFT(Y155,1))*R155,0)</f>
        <v>0</v>
      </c>
      <c r="AA155" s="33">
        <f>IF($Z155&gt;0,VLOOKUP($J155,Ruimtegroepen[],3,FALSE)*VLOOKUP($L155,Vloersoorten[],3,FALSE)*VLOOKUP($Y155,Frequenties[],3,FALSE)*VLOOKUP(#REF!,Locaties[],3,FALSE),0)</f>
        <v>0</v>
      </c>
      <c r="AB155" s="33"/>
      <c r="AC155" s="33"/>
      <c r="AD155" s="33">
        <f>Ruimtestaat[[#This Row],[uren / jaar weekend]]*Tariefsopbouw!$D$40</f>
        <v>0</v>
      </c>
      <c r="AE155" s="86">
        <f>Ruimtestaat[[#This Row],[Prest. (m2 /jaar) weekend]]+Ruimtestaat[[#This Row],[Prest. (m2 /jaar) werkdagen]]</f>
        <v>667.80000000000007</v>
      </c>
      <c r="AF155" s="86">
        <f>Ruimtestaat[[#This Row],[uren / jaar weekend]]+Ruimtestaat[[#This Row],[uren / jaar werkdagen]]</f>
        <v>0</v>
      </c>
      <c r="AG155" s="87">
        <f>Ruimtestaat[[#This Row],[kosten / jaar weekend]]+Ruimtestaat[[#This Row],[kosten / jaar werkdagen]]</f>
        <v>0</v>
      </c>
    </row>
    <row r="156" spans="1:33" ht="15" customHeight="1">
      <c r="A156" s="246">
        <v>2</v>
      </c>
      <c r="B156" s="21" t="str">
        <f>VLOOKUP(Ruimtestaat[[#This Row],[Code]],Locaties[#All],2,FALSE)</f>
        <v>Losser</v>
      </c>
      <c r="C156" s="247" t="str">
        <f>VLOOKUP(Ruimtestaat[[#This Row],[Code]],Locaties[#All],4,FALSE)</f>
        <v>Oranjestraat 2</v>
      </c>
      <c r="D156" s="247" t="str">
        <f>VLOOKUP(Ruimtestaat[[#This Row],[Code]],Locaties[#All],5,FALSE)</f>
        <v>7607 BJ </v>
      </c>
      <c r="E156" s="187" t="str">
        <f>VLOOKUP(Ruimtestaat[[#This Row],[Code]],Locaties[#All],6,FALSE)</f>
        <v>Losser</v>
      </c>
      <c r="F156" s="248"/>
      <c r="G156" s="246" t="s">
        <v>679</v>
      </c>
      <c r="H156" s="246" t="s">
        <v>542</v>
      </c>
      <c r="I156" s="248" t="s">
        <v>549</v>
      </c>
      <c r="J156" s="187">
        <v>6</v>
      </c>
      <c r="K156" s="187" t="str">
        <f>VLOOKUP(Ruimtestaat[[#This Row],[Ruimte code]],Ruimtegroepen[#All],2,FALSE)</f>
        <v>Gangen/hallen</v>
      </c>
      <c r="L156" s="187" t="s">
        <v>109</v>
      </c>
      <c r="M156" s="249" t="s">
        <v>1203</v>
      </c>
      <c r="N156" s="200">
        <v>33.5</v>
      </c>
      <c r="O156" s="190"/>
      <c r="P156" s="231" t="str">
        <f>VLOOKUP(Ruimtestaat[[#This Row],[Ruimte code]],Ruimtegroepen[#All],4,FALSE)</f>
        <v>V  (Verkeersruimte)</v>
      </c>
      <c r="Q156" s="201"/>
      <c r="R156" s="202">
        <v>42</v>
      </c>
      <c r="S156" s="202" t="s">
        <v>2</v>
      </c>
      <c r="T156" s="202">
        <f>IF(R156&gt;0,IF(RIGHT(Ruimtestaat[[#This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56" s="202">
        <f>IF(T156&gt;0,VLOOKUP($J156,Ruimtegroepen[],3,FALSE)*VLOOKUP($L156,Vloersoorten[],3,FALSE)*VLOOKUP($S156,Frequenties[],3,FALSE)*VLOOKUP($A156,Locaties[],3,FALSE),0)</f>
        <v>0</v>
      </c>
      <c r="V156" s="202">
        <f>Ruimtestaat[[#This Row],[Uitvoeringen werkdagen]]*Ruimtestaat[[#This Row],[Oppervlak (netto)]]</f>
        <v>7035</v>
      </c>
      <c r="W156" s="242">
        <f>IF(U156&gt;0,Ruimtestaat[[#This Row],[Prest. (m2 /jaar) werkdagen]]/Ruimtestaat[[#This Row],[Norm (m2/uur) werkdagen]],0)</f>
        <v>0</v>
      </c>
      <c r="X156" s="243">
        <f>Ruimtestaat[[#This Row],[uren / jaar werkdagen]]*Tariefsopbouw!$D$38</f>
        <v>0</v>
      </c>
      <c r="Y156" s="33"/>
      <c r="Z156" s="33">
        <f>IF(Ruimtestaat[[#This Row],[Frequentie weekend]]&gt;0,VALUE(LEFT(Y156,1))*R156,0)</f>
        <v>0</v>
      </c>
      <c r="AA156" s="33">
        <f>IF($Z156&gt;0,VLOOKUP($J156,Ruimtegroepen[],3,FALSE)*VLOOKUP($L156,Vloersoorten[],3,FALSE)*VLOOKUP($Y156,Frequenties[],3,FALSE)*VLOOKUP(#REF!,Locaties[],3,FALSE),0)</f>
        <v>0</v>
      </c>
      <c r="AB156" s="33"/>
      <c r="AC156" s="33"/>
      <c r="AD156" s="33">
        <f>Ruimtestaat[[#This Row],[uren / jaar weekend]]*Tariefsopbouw!$D$40</f>
        <v>0</v>
      </c>
      <c r="AE156" s="86">
        <f>Ruimtestaat[[#This Row],[Prest. (m2 /jaar) weekend]]+Ruimtestaat[[#This Row],[Prest. (m2 /jaar) werkdagen]]</f>
        <v>7035</v>
      </c>
      <c r="AF156" s="86">
        <f>Ruimtestaat[[#This Row],[uren / jaar weekend]]+Ruimtestaat[[#This Row],[uren / jaar werkdagen]]</f>
        <v>0</v>
      </c>
      <c r="AG156" s="87">
        <f>Ruimtestaat[[#This Row],[kosten / jaar weekend]]+Ruimtestaat[[#This Row],[kosten / jaar werkdagen]]</f>
        <v>0</v>
      </c>
    </row>
    <row r="157" spans="1:33" ht="15" customHeight="1">
      <c r="A157" s="246">
        <v>2</v>
      </c>
      <c r="B157" s="21" t="str">
        <f>VLOOKUP(Ruimtestaat[[#This Row],[Code]],Locaties[#All],2,FALSE)</f>
        <v>Losser</v>
      </c>
      <c r="C157" s="247" t="str">
        <f>VLOOKUP(Ruimtestaat[[#This Row],[Code]],Locaties[#All],4,FALSE)</f>
        <v>Oranjestraat 2</v>
      </c>
      <c r="D157" s="247" t="str">
        <f>VLOOKUP(Ruimtestaat[[#This Row],[Code]],Locaties[#All],5,FALSE)</f>
        <v>7607 BJ </v>
      </c>
      <c r="E157" s="187" t="str">
        <f>VLOOKUP(Ruimtestaat[[#This Row],[Code]],Locaties[#All],6,FALSE)</f>
        <v>Losser</v>
      </c>
      <c r="F157" s="248"/>
      <c r="G157" s="246" t="s">
        <v>679</v>
      </c>
      <c r="H157" s="246" t="s">
        <v>595</v>
      </c>
      <c r="I157" s="248" t="s">
        <v>588</v>
      </c>
      <c r="J157" s="187">
        <v>10</v>
      </c>
      <c r="K157" s="187" t="str">
        <f>VLOOKUP(Ruimtestaat[[#This Row],[Ruimte code]],Ruimtegroepen[#All],2,FALSE)</f>
        <v>Trappenhuizen/lift</v>
      </c>
      <c r="L157" s="187" t="s">
        <v>109</v>
      </c>
      <c r="M157" s="249" t="s">
        <v>1203</v>
      </c>
      <c r="N157" s="200">
        <v>2.5</v>
      </c>
      <c r="O157" s="190"/>
      <c r="P157" s="231" t="str">
        <f>VLOOKUP(Ruimtestaat[[#This Row],[Ruimte code]],Ruimtegroepen[#All],4,FALSE)</f>
        <v>V  (Verkeersruimte)</v>
      </c>
      <c r="Q157" s="201"/>
      <c r="R157" s="202">
        <v>42</v>
      </c>
      <c r="S157" s="202" t="s">
        <v>2</v>
      </c>
      <c r="T157" s="202">
        <f>IF(R157&gt;0,IF(RIGHT(Ruimtestaat[[#This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57" s="202">
        <f>IF(T157&gt;0,VLOOKUP($J157,Ruimtegroepen[],3,FALSE)*VLOOKUP($L157,Vloersoorten[],3,FALSE)*VLOOKUP($S157,Frequenties[],3,FALSE)*VLOOKUP($A157,Locaties[],3,FALSE),0)</f>
        <v>0</v>
      </c>
      <c r="V157" s="202">
        <f>Ruimtestaat[[#This Row],[Uitvoeringen werkdagen]]*Ruimtestaat[[#This Row],[Oppervlak (netto)]]</f>
        <v>525</v>
      </c>
      <c r="W157" s="242">
        <f>IF(U157&gt;0,Ruimtestaat[[#This Row],[Prest. (m2 /jaar) werkdagen]]/Ruimtestaat[[#This Row],[Norm (m2/uur) werkdagen]],0)</f>
        <v>0</v>
      </c>
      <c r="X157" s="243">
        <f>Ruimtestaat[[#This Row],[uren / jaar werkdagen]]*Tariefsopbouw!$D$38</f>
        <v>0</v>
      </c>
      <c r="Y157" s="33"/>
      <c r="Z157" s="33">
        <f>IF(Ruimtestaat[[#This Row],[Frequentie weekend]]&gt;0,VALUE(LEFT(Y157,1))*R157,0)</f>
        <v>0</v>
      </c>
      <c r="AA157" s="33">
        <f>IF($Z157&gt;0,VLOOKUP($J157,Ruimtegroepen[],3,FALSE)*VLOOKUP($L157,Vloersoorten[],3,FALSE)*VLOOKUP($Y157,Frequenties[],3,FALSE)*VLOOKUP(#REF!,Locaties[],3,FALSE),0)</f>
        <v>0</v>
      </c>
      <c r="AB157" s="33"/>
      <c r="AC157" s="33"/>
      <c r="AD157" s="33">
        <f>Ruimtestaat[[#This Row],[uren / jaar weekend]]*Tariefsopbouw!$D$40</f>
        <v>0</v>
      </c>
      <c r="AE157" s="86">
        <f>Ruimtestaat[[#This Row],[Prest. (m2 /jaar) weekend]]+Ruimtestaat[[#This Row],[Prest. (m2 /jaar) werkdagen]]</f>
        <v>525</v>
      </c>
      <c r="AF157" s="86">
        <f>Ruimtestaat[[#This Row],[uren / jaar weekend]]+Ruimtestaat[[#This Row],[uren / jaar werkdagen]]</f>
        <v>0</v>
      </c>
      <c r="AG157" s="87">
        <f>Ruimtestaat[[#This Row],[kosten / jaar weekend]]+Ruimtestaat[[#This Row],[kosten / jaar werkdagen]]</f>
        <v>0</v>
      </c>
    </row>
    <row r="158" spans="1:33" ht="15" customHeight="1">
      <c r="A158" s="246">
        <v>2</v>
      </c>
      <c r="B158" s="21" t="str">
        <f>VLOOKUP(Ruimtestaat[[#This Row],[Code]],Locaties[#All],2,FALSE)</f>
        <v>Losser</v>
      </c>
      <c r="C158" s="247" t="str">
        <f>VLOOKUP(Ruimtestaat[[#This Row],[Code]],Locaties[#All],4,FALSE)</f>
        <v>Oranjestraat 2</v>
      </c>
      <c r="D158" s="247" t="str">
        <f>VLOOKUP(Ruimtestaat[[#This Row],[Code]],Locaties[#All],5,FALSE)</f>
        <v>7607 BJ </v>
      </c>
      <c r="E158" s="187" t="str">
        <f>VLOOKUP(Ruimtestaat[[#This Row],[Code]],Locaties[#All],6,FALSE)</f>
        <v>Losser</v>
      </c>
      <c r="F158" s="248"/>
      <c r="G158" s="246" t="s">
        <v>679</v>
      </c>
      <c r="H158" s="246" t="s">
        <v>543</v>
      </c>
      <c r="I158" s="248" t="s">
        <v>509</v>
      </c>
      <c r="J158" s="187">
        <v>5</v>
      </c>
      <c r="K158" s="187" t="str">
        <f>VLOOKUP(Ruimtestaat[[#This Row],[Ruimte code]],Ruimtegroepen[#All],2,FALSE)</f>
        <v>Sanitair</v>
      </c>
      <c r="L158" s="202" t="s">
        <v>108</v>
      </c>
      <c r="M158" s="249" t="s">
        <v>1206</v>
      </c>
      <c r="N158" s="200">
        <v>1.1000000000000001</v>
      </c>
      <c r="O158" s="190"/>
      <c r="P158" s="231" t="str">
        <f>VLOOKUP(Ruimtestaat[[#This Row],[Ruimte code]],Ruimtegroepen[#All],4,FALSE)</f>
        <v>S  (Sanitair)</v>
      </c>
      <c r="Q158" s="201"/>
      <c r="R158" s="202">
        <v>42</v>
      </c>
      <c r="S158" s="202" t="s">
        <v>2</v>
      </c>
      <c r="T158" s="202">
        <f>IF(R158&gt;0,IF(RIGHT(Ruimtestaat[[#This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58" s="202">
        <f>IF(T158&gt;0,VLOOKUP($J158,Ruimtegroepen[],3,FALSE)*VLOOKUP($L158,Vloersoorten[],3,FALSE)*VLOOKUP($S158,Frequenties[],3,FALSE)*VLOOKUP($A158,Locaties[],3,FALSE),0)</f>
        <v>0</v>
      </c>
      <c r="V158" s="202">
        <f>Ruimtestaat[[#This Row],[Uitvoeringen werkdagen]]*Ruimtestaat[[#This Row],[Oppervlak (netto)]]</f>
        <v>231.00000000000003</v>
      </c>
      <c r="W158" s="242">
        <f>IF(U158&gt;0,Ruimtestaat[[#This Row],[Prest. (m2 /jaar) werkdagen]]/Ruimtestaat[[#This Row],[Norm (m2/uur) werkdagen]],0)</f>
        <v>0</v>
      </c>
      <c r="X158" s="243">
        <f>Ruimtestaat[[#This Row],[uren / jaar werkdagen]]*Tariefsopbouw!$D$38</f>
        <v>0</v>
      </c>
      <c r="Y158" s="33"/>
      <c r="Z158" s="33">
        <f>IF(Ruimtestaat[[#This Row],[Frequentie weekend]]&gt;0,VALUE(LEFT(Y158,1))*R158,0)</f>
        <v>0</v>
      </c>
      <c r="AA158" s="33">
        <f>IF($Z158&gt;0,VLOOKUP($J158,Ruimtegroepen[],3,FALSE)*VLOOKUP($L158,Vloersoorten[],3,FALSE)*VLOOKUP($Y158,Frequenties[],3,FALSE)*VLOOKUP(#REF!,Locaties[],3,FALSE),0)</f>
        <v>0</v>
      </c>
      <c r="AB158" s="33"/>
      <c r="AC158" s="33"/>
      <c r="AD158" s="33">
        <f>Ruimtestaat[[#This Row],[uren / jaar weekend]]*Tariefsopbouw!$D$40</f>
        <v>0</v>
      </c>
      <c r="AE158" s="86">
        <f>Ruimtestaat[[#This Row],[Prest. (m2 /jaar) weekend]]+Ruimtestaat[[#This Row],[Prest. (m2 /jaar) werkdagen]]</f>
        <v>231.00000000000003</v>
      </c>
      <c r="AF158" s="86">
        <f>Ruimtestaat[[#This Row],[uren / jaar weekend]]+Ruimtestaat[[#This Row],[uren / jaar werkdagen]]</f>
        <v>0</v>
      </c>
      <c r="AG158" s="87">
        <f>Ruimtestaat[[#This Row],[kosten / jaar weekend]]+Ruimtestaat[[#This Row],[kosten / jaar werkdagen]]</f>
        <v>0</v>
      </c>
    </row>
    <row r="159" spans="1:33" ht="15" customHeight="1">
      <c r="A159" s="246">
        <v>2</v>
      </c>
      <c r="B159" s="21" t="str">
        <f>VLOOKUP(Ruimtestaat[[#This Row],[Code]],Locaties[#All],2,FALSE)</f>
        <v>Losser</v>
      </c>
      <c r="C159" s="247" t="str">
        <f>VLOOKUP(Ruimtestaat[[#This Row],[Code]],Locaties[#All],4,FALSE)</f>
        <v>Oranjestraat 2</v>
      </c>
      <c r="D159" s="247" t="str">
        <f>VLOOKUP(Ruimtestaat[[#This Row],[Code]],Locaties[#All],5,FALSE)</f>
        <v>7607 BJ </v>
      </c>
      <c r="E159" s="187" t="str">
        <f>VLOOKUP(Ruimtestaat[[#This Row],[Code]],Locaties[#All],6,FALSE)</f>
        <v>Losser</v>
      </c>
      <c r="F159" s="248"/>
      <c r="G159" s="246" t="s">
        <v>679</v>
      </c>
      <c r="H159" s="246" t="s">
        <v>544</v>
      </c>
      <c r="I159" s="248" t="s">
        <v>509</v>
      </c>
      <c r="J159" s="187">
        <v>5</v>
      </c>
      <c r="K159" s="187" t="str">
        <f>VLOOKUP(Ruimtestaat[[#This Row],[Ruimte code]],Ruimtegroepen[#All],2,FALSE)</f>
        <v>Sanitair</v>
      </c>
      <c r="L159" s="202" t="s">
        <v>108</v>
      </c>
      <c r="M159" s="249" t="s">
        <v>1206</v>
      </c>
      <c r="N159" s="200">
        <v>1.1000000000000001</v>
      </c>
      <c r="O159" s="190"/>
      <c r="P159" s="231" t="str">
        <f>VLOOKUP(Ruimtestaat[[#This Row],[Ruimte code]],Ruimtegroepen[#All],4,FALSE)</f>
        <v>S  (Sanitair)</v>
      </c>
      <c r="Q159" s="201"/>
      <c r="R159" s="202">
        <v>42</v>
      </c>
      <c r="S159" s="202" t="s">
        <v>2</v>
      </c>
      <c r="T159" s="202">
        <f>IF(R159&gt;0,IF(RIGHT(Ruimtestaat[[#This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59" s="202">
        <f>IF(T159&gt;0,VLOOKUP($J159,Ruimtegroepen[],3,FALSE)*VLOOKUP($L159,Vloersoorten[],3,FALSE)*VLOOKUP($S159,Frequenties[],3,FALSE)*VLOOKUP($A159,Locaties[],3,FALSE),0)</f>
        <v>0</v>
      </c>
      <c r="V159" s="202">
        <f>Ruimtestaat[[#This Row],[Uitvoeringen werkdagen]]*Ruimtestaat[[#This Row],[Oppervlak (netto)]]</f>
        <v>231.00000000000003</v>
      </c>
      <c r="W159" s="242">
        <f>IF(U159&gt;0,Ruimtestaat[[#This Row],[Prest. (m2 /jaar) werkdagen]]/Ruimtestaat[[#This Row],[Norm (m2/uur) werkdagen]],0)</f>
        <v>0</v>
      </c>
      <c r="X159" s="243">
        <f>Ruimtestaat[[#This Row],[uren / jaar werkdagen]]*Tariefsopbouw!$D$38</f>
        <v>0</v>
      </c>
      <c r="Y159" s="33"/>
      <c r="Z159" s="33">
        <f>IF(Ruimtestaat[[#This Row],[Frequentie weekend]]&gt;0,VALUE(LEFT(Y159,1))*R159,0)</f>
        <v>0</v>
      </c>
      <c r="AA159" s="33">
        <f>IF($Z159&gt;0,VLOOKUP($J159,Ruimtegroepen[],3,FALSE)*VLOOKUP($L159,Vloersoorten[],3,FALSE)*VLOOKUP($Y159,Frequenties[],3,FALSE)*VLOOKUP(#REF!,Locaties[],3,FALSE),0)</f>
        <v>0</v>
      </c>
      <c r="AB159" s="33"/>
      <c r="AC159" s="33"/>
      <c r="AD159" s="33">
        <f>Ruimtestaat[[#This Row],[uren / jaar weekend]]*Tariefsopbouw!$D$40</f>
        <v>0</v>
      </c>
      <c r="AE159" s="86">
        <f>Ruimtestaat[[#This Row],[Prest. (m2 /jaar) weekend]]+Ruimtestaat[[#This Row],[Prest. (m2 /jaar) werkdagen]]</f>
        <v>231.00000000000003</v>
      </c>
      <c r="AF159" s="86">
        <f>Ruimtestaat[[#This Row],[uren / jaar weekend]]+Ruimtestaat[[#This Row],[uren / jaar werkdagen]]</f>
        <v>0</v>
      </c>
      <c r="AG159" s="87">
        <f>Ruimtestaat[[#This Row],[kosten / jaar weekend]]+Ruimtestaat[[#This Row],[kosten / jaar werkdagen]]</f>
        <v>0</v>
      </c>
    </row>
    <row r="160" spans="1:33" ht="15" customHeight="1">
      <c r="A160" s="246">
        <v>2</v>
      </c>
      <c r="B160" s="21" t="str">
        <f>VLOOKUP(Ruimtestaat[[#This Row],[Code]],Locaties[#All],2,FALSE)</f>
        <v>Losser</v>
      </c>
      <c r="C160" s="247" t="str">
        <f>VLOOKUP(Ruimtestaat[[#This Row],[Code]],Locaties[#All],4,FALSE)</f>
        <v>Oranjestraat 2</v>
      </c>
      <c r="D160" s="247" t="str">
        <f>VLOOKUP(Ruimtestaat[[#This Row],[Code]],Locaties[#All],5,FALSE)</f>
        <v>7607 BJ </v>
      </c>
      <c r="E160" s="187" t="str">
        <f>VLOOKUP(Ruimtestaat[[#This Row],[Code]],Locaties[#All],6,FALSE)</f>
        <v>Losser</v>
      </c>
      <c r="F160" s="248"/>
      <c r="G160" s="246" t="s">
        <v>679</v>
      </c>
      <c r="H160" s="246" t="s">
        <v>545</v>
      </c>
      <c r="I160" s="248" t="s">
        <v>1155</v>
      </c>
      <c r="J160" s="187">
        <v>5</v>
      </c>
      <c r="K160" s="187" t="str">
        <f>VLOOKUP(Ruimtestaat[[#This Row],[Ruimte code]],Ruimtegroepen[#All],2,FALSE)</f>
        <v>Sanitair</v>
      </c>
      <c r="L160" s="202" t="s">
        <v>108</v>
      </c>
      <c r="M160" s="249" t="s">
        <v>1206</v>
      </c>
      <c r="N160" s="200">
        <v>2.7</v>
      </c>
      <c r="O160" s="190"/>
      <c r="P160" s="231" t="str">
        <f>VLOOKUP(Ruimtestaat[[#This Row],[Ruimte code]],Ruimtegroepen[#All],4,FALSE)</f>
        <v>S  (Sanitair)</v>
      </c>
      <c r="Q160" s="201"/>
      <c r="R160" s="202">
        <v>42</v>
      </c>
      <c r="S160" s="202" t="s">
        <v>2</v>
      </c>
      <c r="T160" s="202">
        <f>IF(R160&gt;0,IF(RIGHT(Ruimtestaat[[#This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60" s="202">
        <f>IF(T160&gt;0,VLOOKUP($J160,Ruimtegroepen[],3,FALSE)*VLOOKUP($L160,Vloersoorten[],3,FALSE)*VLOOKUP($S160,Frequenties[],3,FALSE)*VLOOKUP($A160,Locaties[],3,FALSE),0)</f>
        <v>0</v>
      </c>
      <c r="V160" s="202">
        <f>Ruimtestaat[[#This Row],[Uitvoeringen werkdagen]]*Ruimtestaat[[#This Row],[Oppervlak (netto)]]</f>
        <v>567</v>
      </c>
      <c r="W160" s="242">
        <f>IF(U160&gt;0,Ruimtestaat[[#This Row],[Prest. (m2 /jaar) werkdagen]]/Ruimtestaat[[#This Row],[Norm (m2/uur) werkdagen]],0)</f>
        <v>0</v>
      </c>
      <c r="X160" s="243">
        <f>Ruimtestaat[[#This Row],[uren / jaar werkdagen]]*Tariefsopbouw!$D$38</f>
        <v>0</v>
      </c>
      <c r="Y160" s="33"/>
      <c r="Z160" s="33">
        <f>IF(Ruimtestaat[[#This Row],[Frequentie weekend]]&gt;0,VALUE(LEFT(Y160,1))*R160,0)</f>
        <v>0</v>
      </c>
      <c r="AA160" s="33">
        <f>IF($Z160&gt;0,VLOOKUP($J160,Ruimtegroepen[],3,FALSE)*VLOOKUP($L160,Vloersoorten[],3,FALSE)*VLOOKUP($Y160,Frequenties[],3,FALSE)*VLOOKUP(#REF!,Locaties[],3,FALSE),0)</f>
        <v>0</v>
      </c>
      <c r="AB160" s="33"/>
      <c r="AC160" s="33"/>
      <c r="AD160" s="33">
        <f>Ruimtestaat[[#This Row],[uren / jaar weekend]]*Tariefsopbouw!$D$40</f>
        <v>0</v>
      </c>
      <c r="AE160" s="86">
        <f>Ruimtestaat[[#This Row],[Prest. (m2 /jaar) weekend]]+Ruimtestaat[[#This Row],[Prest. (m2 /jaar) werkdagen]]</f>
        <v>567</v>
      </c>
      <c r="AF160" s="86">
        <f>Ruimtestaat[[#This Row],[uren / jaar weekend]]+Ruimtestaat[[#This Row],[uren / jaar werkdagen]]</f>
        <v>0</v>
      </c>
      <c r="AG160" s="87">
        <f>Ruimtestaat[[#This Row],[kosten / jaar weekend]]+Ruimtestaat[[#This Row],[kosten / jaar werkdagen]]</f>
        <v>0</v>
      </c>
    </row>
    <row r="161" spans="1:33" ht="15" customHeight="1">
      <c r="A161" s="246">
        <v>2</v>
      </c>
      <c r="B161" s="21" t="str">
        <f>VLOOKUP(Ruimtestaat[[#This Row],[Code]],Locaties[#All],2,FALSE)</f>
        <v>Losser</v>
      </c>
      <c r="C161" s="247" t="str">
        <f>VLOOKUP(Ruimtestaat[[#This Row],[Code]],Locaties[#All],4,FALSE)</f>
        <v>Oranjestraat 2</v>
      </c>
      <c r="D161" s="247" t="str">
        <f>VLOOKUP(Ruimtestaat[[#This Row],[Code]],Locaties[#All],5,FALSE)</f>
        <v>7607 BJ </v>
      </c>
      <c r="E161" s="187" t="str">
        <f>VLOOKUP(Ruimtestaat[[#This Row],[Code]],Locaties[#All],6,FALSE)</f>
        <v>Losser</v>
      </c>
      <c r="F161" s="248"/>
      <c r="G161" s="246" t="s">
        <v>679</v>
      </c>
      <c r="H161" s="246" t="s">
        <v>546</v>
      </c>
      <c r="I161" s="248" t="s">
        <v>1170</v>
      </c>
      <c r="J161" s="202">
        <v>15</v>
      </c>
      <c r="K161" s="202" t="str">
        <f>VLOOKUP(Ruimtestaat[[#This Row],[Ruimte code]],Ruimtegroepen[#All],2,FALSE)</f>
        <v>Keuken/pantry/rookruimte</v>
      </c>
      <c r="L161" s="187" t="s">
        <v>109</v>
      </c>
      <c r="M161" s="249" t="s">
        <v>1203</v>
      </c>
      <c r="N161" s="200">
        <v>24.57</v>
      </c>
      <c r="O161" s="190"/>
      <c r="P161" s="231" t="str">
        <f>VLOOKUP(Ruimtestaat[[#This Row],[Ruimte code]],Ruimtegroepen[#All],4,FALSE)</f>
        <v>V  (Verkeersruimte)</v>
      </c>
      <c r="Q161" s="201"/>
      <c r="R161" s="202">
        <v>42</v>
      </c>
      <c r="S161" s="202" t="s">
        <v>2</v>
      </c>
      <c r="T161" s="202">
        <f>IF(R161&gt;0,IF(RIGHT(Ruimtestaat[[#This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61" s="202">
        <f>IF(T161&gt;0,VLOOKUP($J161,Ruimtegroepen[],3,FALSE)*VLOOKUP($L161,Vloersoorten[],3,FALSE)*VLOOKUP($S161,Frequenties[],3,FALSE)*VLOOKUP($A161,Locaties[],3,FALSE),0)</f>
        <v>0</v>
      </c>
      <c r="V161" s="202">
        <f>Ruimtestaat[[#This Row],[Uitvoeringen werkdagen]]*Ruimtestaat[[#This Row],[Oppervlak (netto)]]</f>
        <v>5159.7</v>
      </c>
      <c r="W161" s="242">
        <f>IF(U161&gt;0,Ruimtestaat[[#This Row],[Prest. (m2 /jaar) werkdagen]]/Ruimtestaat[[#This Row],[Norm (m2/uur) werkdagen]],0)</f>
        <v>0</v>
      </c>
      <c r="X161" s="243">
        <f>Ruimtestaat[[#This Row],[uren / jaar werkdagen]]*Tariefsopbouw!$D$38</f>
        <v>0</v>
      </c>
      <c r="Y161" s="33"/>
      <c r="Z161" s="33">
        <f>IF(Ruimtestaat[[#This Row],[Frequentie weekend]]&gt;0,VALUE(LEFT(Y161,1))*R161,0)</f>
        <v>0</v>
      </c>
      <c r="AA161" s="33">
        <f>IF($Z161&gt;0,VLOOKUP($J161,Ruimtegroepen[],3,FALSE)*VLOOKUP($L161,Vloersoorten[],3,FALSE)*VLOOKUP($Y161,Frequenties[],3,FALSE)*VLOOKUP(#REF!,Locaties[],3,FALSE),0)</f>
        <v>0</v>
      </c>
      <c r="AB161" s="33"/>
      <c r="AC161" s="33"/>
      <c r="AD161" s="33">
        <f>Ruimtestaat[[#This Row],[uren / jaar weekend]]*Tariefsopbouw!$D$40</f>
        <v>0</v>
      </c>
      <c r="AE161" s="86">
        <f>Ruimtestaat[[#This Row],[Prest. (m2 /jaar) weekend]]+Ruimtestaat[[#This Row],[Prest. (m2 /jaar) werkdagen]]</f>
        <v>5159.7</v>
      </c>
      <c r="AF161" s="86">
        <f>Ruimtestaat[[#This Row],[uren / jaar weekend]]+Ruimtestaat[[#This Row],[uren / jaar werkdagen]]</f>
        <v>0</v>
      </c>
      <c r="AG161" s="87">
        <f>Ruimtestaat[[#This Row],[kosten / jaar weekend]]+Ruimtestaat[[#This Row],[kosten / jaar werkdagen]]</f>
        <v>0</v>
      </c>
    </row>
    <row r="162" spans="1:33" ht="15" customHeight="1">
      <c r="A162" s="246">
        <v>2</v>
      </c>
      <c r="B162" s="21" t="str">
        <f>VLOOKUP(Ruimtestaat[[#This Row],[Code]],Locaties[#All],2,FALSE)</f>
        <v>Losser</v>
      </c>
      <c r="C162" s="247" t="str">
        <f>VLOOKUP(Ruimtestaat[[#This Row],[Code]],Locaties[#All],4,FALSE)</f>
        <v>Oranjestraat 2</v>
      </c>
      <c r="D162" s="247" t="str">
        <f>VLOOKUP(Ruimtestaat[[#This Row],[Code]],Locaties[#All],5,FALSE)</f>
        <v>7607 BJ </v>
      </c>
      <c r="E162" s="187" t="str">
        <f>VLOOKUP(Ruimtestaat[[#This Row],[Code]],Locaties[#All],6,FALSE)</f>
        <v>Losser</v>
      </c>
      <c r="F162" s="248"/>
      <c r="G162" s="246" t="s">
        <v>679</v>
      </c>
      <c r="H162" s="246" t="s">
        <v>547</v>
      </c>
      <c r="I162" s="248" t="s">
        <v>523</v>
      </c>
      <c r="J162" s="187">
        <v>1</v>
      </c>
      <c r="K162" s="187" t="str">
        <f>VLOOKUP(Ruimtestaat[[#This Row],[Ruimte code]],Ruimtegroepen[#All],2,FALSE)</f>
        <v>Magazijnen/bergingen</v>
      </c>
      <c r="L162" s="187" t="s">
        <v>109</v>
      </c>
      <c r="M162" s="249" t="s">
        <v>1203</v>
      </c>
      <c r="N162" s="200">
        <v>15.5</v>
      </c>
      <c r="O162" s="190"/>
      <c r="P162" s="231" t="str">
        <f>VLOOKUP(Ruimtestaat[[#This Row],[Ruimte code]],Ruimtegroepen[#All],4,FALSE)</f>
        <v>V  (Verkeersruimte)</v>
      </c>
      <c r="Q162" s="201"/>
      <c r="R162" s="202">
        <v>42</v>
      </c>
      <c r="S162" s="202" t="s">
        <v>15</v>
      </c>
      <c r="T162" s="202">
        <f>IF(R162&gt;0,IF(RIGHT(Ruimtestaat[[#This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162" s="202">
        <f>IF(T162&gt;0,VLOOKUP($J162,Ruimtegroepen[],3,FALSE)*VLOOKUP($L162,Vloersoorten[],3,FALSE)*VLOOKUP($S162,Frequenties[],3,FALSE)*VLOOKUP($A162,Locaties[],3,FALSE),0)</f>
        <v>0</v>
      </c>
      <c r="V162" s="202">
        <f>Ruimtestaat[[#This Row],[Uitvoeringen werkdagen]]*Ruimtestaat[[#This Row],[Oppervlak (netto)]]</f>
        <v>651</v>
      </c>
      <c r="W162" s="242">
        <f>IF(U162&gt;0,Ruimtestaat[[#This Row],[Prest. (m2 /jaar) werkdagen]]/Ruimtestaat[[#This Row],[Norm (m2/uur) werkdagen]],0)</f>
        <v>0</v>
      </c>
      <c r="X162" s="243">
        <f>Ruimtestaat[[#This Row],[uren / jaar werkdagen]]*Tariefsopbouw!$D$38</f>
        <v>0</v>
      </c>
      <c r="Y162" s="33"/>
      <c r="Z162" s="33">
        <f>IF(Ruimtestaat[[#This Row],[Frequentie weekend]]&gt;0,VALUE(LEFT(Y162,1))*R162,0)</f>
        <v>0</v>
      </c>
      <c r="AA162" s="33">
        <f>IF($Z162&gt;0,VLOOKUP($J162,Ruimtegroepen[],3,FALSE)*VLOOKUP($L162,Vloersoorten[],3,FALSE)*VLOOKUP($Y162,Frequenties[],3,FALSE)*VLOOKUP(#REF!,Locaties[],3,FALSE),0)</f>
        <v>0</v>
      </c>
      <c r="AB162" s="33"/>
      <c r="AC162" s="33"/>
      <c r="AD162" s="33">
        <f>Ruimtestaat[[#This Row],[uren / jaar weekend]]*Tariefsopbouw!$D$40</f>
        <v>0</v>
      </c>
      <c r="AE162" s="86">
        <f>Ruimtestaat[[#This Row],[Prest. (m2 /jaar) weekend]]+Ruimtestaat[[#This Row],[Prest. (m2 /jaar) werkdagen]]</f>
        <v>651</v>
      </c>
      <c r="AF162" s="86">
        <f>Ruimtestaat[[#This Row],[uren / jaar weekend]]+Ruimtestaat[[#This Row],[uren / jaar werkdagen]]</f>
        <v>0</v>
      </c>
      <c r="AG162" s="87">
        <f>Ruimtestaat[[#This Row],[kosten / jaar weekend]]+Ruimtestaat[[#This Row],[kosten / jaar werkdagen]]</f>
        <v>0</v>
      </c>
    </row>
    <row r="163" spans="1:33" ht="15" customHeight="1">
      <c r="A163" s="246">
        <v>2</v>
      </c>
      <c r="B163" s="21" t="str">
        <f>VLOOKUP(Ruimtestaat[[#This Row],[Code]],Locaties[#All],2,FALSE)</f>
        <v>Losser</v>
      </c>
      <c r="C163" s="247" t="str">
        <f>VLOOKUP(Ruimtestaat[[#This Row],[Code]],Locaties[#All],4,FALSE)</f>
        <v>Oranjestraat 2</v>
      </c>
      <c r="D163" s="247" t="str">
        <f>VLOOKUP(Ruimtestaat[[#This Row],[Code]],Locaties[#All],5,FALSE)</f>
        <v>7607 BJ </v>
      </c>
      <c r="E163" s="187" t="str">
        <f>VLOOKUP(Ruimtestaat[[#This Row],[Code]],Locaties[#All],6,FALSE)</f>
        <v>Losser</v>
      </c>
      <c r="F163" s="248"/>
      <c r="G163" s="246" t="s">
        <v>679</v>
      </c>
      <c r="H163" s="246" t="s">
        <v>548</v>
      </c>
      <c r="I163" s="248" t="s">
        <v>549</v>
      </c>
      <c r="J163" s="187">
        <v>6</v>
      </c>
      <c r="K163" s="187" t="str">
        <f>VLOOKUP(Ruimtestaat[[#This Row],[Ruimte code]],Ruimtegroepen[#All],2,FALSE)</f>
        <v>Gangen/hallen</v>
      </c>
      <c r="L163" s="187" t="s">
        <v>109</v>
      </c>
      <c r="M163" s="249" t="s">
        <v>1203</v>
      </c>
      <c r="N163" s="200">
        <v>108.5</v>
      </c>
      <c r="O163" s="190"/>
      <c r="P163" s="231" t="str">
        <f>VLOOKUP(Ruimtestaat[[#This Row],[Ruimte code]],Ruimtegroepen[#All],4,FALSE)</f>
        <v>V  (Verkeersruimte)</v>
      </c>
      <c r="Q163" s="201"/>
      <c r="R163" s="202">
        <v>42</v>
      </c>
      <c r="S163" s="202" t="s">
        <v>2</v>
      </c>
      <c r="T163" s="202">
        <f>IF(R163&gt;0,IF(RIGHT(Ruimtestaat[[#This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63" s="202">
        <f>IF(T163&gt;0,VLOOKUP($J163,Ruimtegroepen[],3,FALSE)*VLOOKUP($L163,Vloersoorten[],3,FALSE)*VLOOKUP($S163,Frequenties[],3,FALSE)*VLOOKUP($A163,Locaties[],3,FALSE),0)</f>
        <v>0</v>
      </c>
      <c r="V163" s="202">
        <f>Ruimtestaat[[#This Row],[Uitvoeringen werkdagen]]*Ruimtestaat[[#This Row],[Oppervlak (netto)]]</f>
        <v>22785</v>
      </c>
      <c r="W163" s="242">
        <f>IF(U163&gt;0,Ruimtestaat[[#This Row],[Prest. (m2 /jaar) werkdagen]]/Ruimtestaat[[#This Row],[Norm (m2/uur) werkdagen]],0)</f>
        <v>0</v>
      </c>
      <c r="X163" s="243">
        <f>Ruimtestaat[[#This Row],[uren / jaar werkdagen]]*Tariefsopbouw!$D$38</f>
        <v>0</v>
      </c>
      <c r="Y163" s="33"/>
      <c r="Z163" s="33">
        <f>IF(Ruimtestaat[[#This Row],[Frequentie weekend]]&gt;0,VALUE(LEFT(Y163,1))*R163,0)</f>
        <v>0</v>
      </c>
      <c r="AA163" s="33">
        <f>IF($Z163&gt;0,VLOOKUP($J163,Ruimtegroepen[],3,FALSE)*VLOOKUP($L163,Vloersoorten[],3,FALSE)*VLOOKUP($Y163,Frequenties[],3,FALSE)*VLOOKUP(#REF!,Locaties[],3,FALSE),0)</f>
        <v>0</v>
      </c>
      <c r="AB163" s="33"/>
      <c r="AC163" s="33"/>
      <c r="AD163" s="33">
        <f>Ruimtestaat[[#This Row],[uren / jaar weekend]]*Tariefsopbouw!$D$40</f>
        <v>0</v>
      </c>
      <c r="AE163" s="86">
        <f>Ruimtestaat[[#This Row],[Prest. (m2 /jaar) weekend]]+Ruimtestaat[[#This Row],[Prest. (m2 /jaar) werkdagen]]</f>
        <v>22785</v>
      </c>
      <c r="AF163" s="86">
        <f>Ruimtestaat[[#This Row],[uren / jaar weekend]]+Ruimtestaat[[#This Row],[uren / jaar werkdagen]]</f>
        <v>0</v>
      </c>
      <c r="AG163" s="87">
        <f>Ruimtestaat[[#This Row],[kosten / jaar weekend]]+Ruimtestaat[[#This Row],[kosten / jaar werkdagen]]</f>
        <v>0</v>
      </c>
    </row>
    <row r="164" spans="1:33" ht="15" customHeight="1">
      <c r="A164" s="246">
        <v>2</v>
      </c>
      <c r="B164" s="21" t="str">
        <f>VLOOKUP(Ruimtestaat[[#This Row],[Code]],Locaties[#All],2,FALSE)</f>
        <v>Losser</v>
      </c>
      <c r="C164" s="247" t="str">
        <f>VLOOKUP(Ruimtestaat[[#This Row],[Code]],Locaties[#All],4,FALSE)</f>
        <v>Oranjestraat 2</v>
      </c>
      <c r="D164" s="247" t="str">
        <f>VLOOKUP(Ruimtestaat[[#This Row],[Code]],Locaties[#All],5,FALSE)</f>
        <v>7607 BJ </v>
      </c>
      <c r="E164" s="187" t="str">
        <f>VLOOKUP(Ruimtestaat[[#This Row],[Code]],Locaties[#All],6,FALSE)</f>
        <v>Losser</v>
      </c>
      <c r="F164" s="248"/>
      <c r="G164" s="246" t="s">
        <v>679</v>
      </c>
      <c r="H164" s="246" t="s">
        <v>550</v>
      </c>
      <c r="I164" s="248" t="s">
        <v>1164</v>
      </c>
      <c r="J164" s="187">
        <v>6</v>
      </c>
      <c r="K164" s="187" t="str">
        <f>VLOOKUP(Ruimtestaat[[#This Row],[Ruimte code]],Ruimtegroepen[#All],2,FALSE)</f>
        <v>Gangen/hallen</v>
      </c>
      <c r="L164" s="187" t="s">
        <v>109</v>
      </c>
      <c r="M164" s="249" t="s">
        <v>1203</v>
      </c>
      <c r="N164" s="200">
        <v>7</v>
      </c>
      <c r="O164" s="190"/>
      <c r="P164" s="231" t="str">
        <f>VLOOKUP(Ruimtestaat[[#This Row],[Ruimte code]],Ruimtegroepen[#All],4,FALSE)</f>
        <v>V  (Verkeersruimte)</v>
      </c>
      <c r="Q164" s="201"/>
      <c r="R164" s="202">
        <v>42</v>
      </c>
      <c r="S164" s="202" t="s">
        <v>2</v>
      </c>
      <c r="T164" s="202">
        <f>IF(R164&gt;0,IF(RIGHT(Ruimtestaat[[#This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64" s="202">
        <f>IF(T164&gt;0,VLOOKUP($J164,Ruimtegroepen[],3,FALSE)*VLOOKUP($L164,Vloersoorten[],3,FALSE)*VLOOKUP($S164,Frequenties[],3,FALSE)*VLOOKUP($A164,Locaties[],3,FALSE),0)</f>
        <v>0</v>
      </c>
      <c r="V164" s="202">
        <f>Ruimtestaat[[#This Row],[Uitvoeringen werkdagen]]*Ruimtestaat[[#This Row],[Oppervlak (netto)]]</f>
        <v>1470</v>
      </c>
      <c r="W164" s="242">
        <f>IF(U164&gt;0,Ruimtestaat[[#This Row],[Prest. (m2 /jaar) werkdagen]]/Ruimtestaat[[#This Row],[Norm (m2/uur) werkdagen]],0)</f>
        <v>0</v>
      </c>
      <c r="X164" s="243">
        <f>Ruimtestaat[[#This Row],[uren / jaar werkdagen]]*Tariefsopbouw!$D$38</f>
        <v>0</v>
      </c>
      <c r="Y164" s="33"/>
      <c r="Z164" s="33">
        <f>IF(Ruimtestaat[[#This Row],[Frequentie weekend]]&gt;0,VALUE(LEFT(Y164,1))*R164,0)</f>
        <v>0</v>
      </c>
      <c r="AA164" s="33">
        <f>IF($Z164&gt;0,VLOOKUP($J164,Ruimtegroepen[],3,FALSE)*VLOOKUP($L164,Vloersoorten[],3,FALSE)*VLOOKUP($Y164,Frequenties[],3,FALSE)*VLOOKUP(#REF!,Locaties[],3,FALSE),0)</f>
        <v>0</v>
      </c>
      <c r="AB164" s="33"/>
      <c r="AC164" s="33"/>
      <c r="AD164" s="33">
        <f>Ruimtestaat[[#This Row],[uren / jaar weekend]]*Tariefsopbouw!$D$40</f>
        <v>0</v>
      </c>
      <c r="AE164" s="86">
        <f>Ruimtestaat[[#This Row],[Prest. (m2 /jaar) weekend]]+Ruimtestaat[[#This Row],[Prest. (m2 /jaar) werkdagen]]</f>
        <v>1470</v>
      </c>
      <c r="AF164" s="86">
        <f>Ruimtestaat[[#This Row],[uren / jaar weekend]]+Ruimtestaat[[#This Row],[uren / jaar werkdagen]]</f>
        <v>0</v>
      </c>
      <c r="AG164" s="87">
        <f>Ruimtestaat[[#This Row],[kosten / jaar weekend]]+Ruimtestaat[[#This Row],[kosten / jaar werkdagen]]</f>
        <v>0</v>
      </c>
    </row>
    <row r="165" spans="1:33" ht="15" customHeight="1">
      <c r="A165" s="246">
        <v>2</v>
      </c>
      <c r="B165" s="21" t="str">
        <f>VLOOKUP(Ruimtestaat[[#This Row],[Code]],Locaties[#All],2,FALSE)</f>
        <v>Losser</v>
      </c>
      <c r="C165" s="247" t="str">
        <f>VLOOKUP(Ruimtestaat[[#This Row],[Code]],Locaties[#All],4,FALSE)</f>
        <v>Oranjestraat 2</v>
      </c>
      <c r="D165" s="247" t="str">
        <f>VLOOKUP(Ruimtestaat[[#This Row],[Code]],Locaties[#All],5,FALSE)</f>
        <v>7607 BJ </v>
      </c>
      <c r="E165" s="187" t="str">
        <f>VLOOKUP(Ruimtestaat[[#This Row],[Code]],Locaties[#All],6,FALSE)</f>
        <v>Losser</v>
      </c>
      <c r="F165" s="248"/>
      <c r="G165" s="246" t="s">
        <v>679</v>
      </c>
      <c r="H165" s="246" t="s">
        <v>551</v>
      </c>
      <c r="I165" s="248" t="s">
        <v>523</v>
      </c>
      <c r="J165" s="187">
        <v>1</v>
      </c>
      <c r="K165" s="187" t="str">
        <f>VLOOKUP(Ruimtestaat[[#This Row],[Ruimte code]],Ruimtegroepen[#All],2,FALSE)</f>
        <v>Magazijnen/bergingen</v>
      </c>
      <c r="L165" s="187" t="s">
        <v>109</v>
      </c>
      <c r="M165" s="249" t="s">
        <v>1203</v>
      </c>
      <c r="N165" s="200">
        <v>6.6</v>
      </c>
      <c r="O165" s="190"/>
      <c r="P165" s="231" t="str">
        <f>VLOOKUP(Ruimtestaat[[#This Row],[Ruimte code]],Ruimtegroepen[#All],4,FALSE)</f>
        <v>V  (Verkeersruimte)</v>
      </c>
      <c r="Q165" s="201"/>
      <c r="R165" s="202">
        <v>42</v>
      </c>
      <c r="S165" s="202" t="s">
        <v>15</v>
      </c>
      <c r="T165" s="202">
        <f>IF(R165&gt;0,IF(RIGHT(Ruimtestaat[[#This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165" s="202">
        <f>IF(T165&gt;0,VLOOKUP($J165,Ruimtegroepen[],3,FALSE)*VLOOKUP($L165,Vloersoorten[],3,FALSE)*VLOOKUP($S165,Frequenties[],3,FALSE)*VLOOKUP($A165,Locaties[],3,FALSE),0)</f>
        <v>0</v>
      </c>
      <c r="V165" s="202">
        <f>Ruimtestaat[[#This Row],[Uitvoeringen werkdagen]]*Ruimtestaat[[#This Row],[Oppervlak (netto)]]</f>
        <v>277.2</v>
      </c>
      <c r="W165" s="242">
        <f>IF(U165&gt;0,Ruimtestaat[[#This Row],[Prest. (m2 /jaar) werkdagen]]/Ruimtestaat[[#This Row],[Norm (m2/uur) werkdagen]],0)</f>
        <v>0</v>
      </c>
      <c r="X165" s="243">
        <f>Ruimtestaat[[#This Row],[uren / jaar werkdagen]]*Tariefsopbouw!$D$38</f>
        <v>0</v>
      </c>
      <c r="Y165" s="33"/>
      <c r="Z165" s="33">
        <f>IF(Ruimtestaat[[#This Row],[Frequentie weekend]]&gt;0,VALUE(LEFT(Y165,1))*R165,0)</f>
        <v>0</v>
      </c>
      <c r="AA165" s="33">
        <f>IF($Z165&gt;0,VLOOKUP($J165,Ruimtegroepen[],3,FALSE)*VLOOKUP($L165,Vloersoorten[],3,FALSE)*VLOOKUP($Y165,Frequenties[],3,FALSE)*VLOOKUP(#REF!,Locaties[],3,FALSE),0)</f>
        <v>0</v>
      </c>
      <c r="AB165" s="33"/>
      <c r="AC165" s="33"/>
      <c r="AD165" s="33">
        <f>Ruimtestaat[[#This Row],[uren / jaar weekend]]*Tariefsopbouw!$D$40</f>
        <v>0</v>
      </c>
      <c r="AE165" s="86">
        <f>Ruimtestaat[[#This Row],[Prest. (m2 /jaar) weekend]]+Ruimtestaat[[#This Row],[Prest. (m2 /jaar) werkdagen]]</f>
        <v>277.2</v>
      </c>
      <c r="AF165" s="86">
        <f>Ruimtestaat[[#This Row],[uren / jaar weekend]]+Ruimtestaat[[#This Row],[uren / jaar werkdagen]]</f>
        <v>0</v>
      </c>
      <c r="AG165" s="87">
        <f>Ruimtestaat[[#This Row],[kosten / jaar weekend]]+Ruimtestaat[[#This Row],[kosten / jaar werkdagen]]</f>
        <v>0</v>
      </c>
    </row>
    <row r="166" spans="1:33" ht="15" customHeight="1">
      <c r="A166" s="246">
        <v>2</v>
      </c>
      <c r="B166" s="21" t="str">
        <f>VLOOKUP(Ruimtestaat[[#This Row],[Code]],Locaties[#All],2,FALSE)</f>
        <v>Losser</v>
      </c>
      <c r="C166" s="247" t="str">
        <f>VLOOKUP(Ruimtestaat[[#This Row],[Code]],Locaties[#All],4,FALSE)</f>
        <v>Oranjestraat 2</v>
      </c>
      <c r="D166" s="247" t="str">
        <f>VLOOKUP(Ruimtestaat[[#This Row],[Code]],Locaties[#All],5,FALSE)</f>
        <v>7607 BJ </v>
      </c>
      <c r="E166" s="187" t="str">
        <f>VLOOKUP(Ruimtestaat[[#This Row],[Code]],Locaties[#All],6,FALSE)</f>
        <v>Losser</v>
      </c>
      <c r="F166" s="248"/>
      <c r="G166" s="246" t="s">
        <v>679</v>
      </c>
      <c r="H166" s="246" t="s">
        <v>552</v>
      </c>
      <c r="I166" s="248" t="s">
        <v>553</v>
      </c>
      <c r="J166" s="187">
        <v>20</v>
      </c>
      <c r="K166" s="187" t="str">
        <f>VLOOKUP(Ruimtestaat[[#This Row],[Ruimte code]],Ruimtegroepen[#All],2,FALSE)</f>
        <v>Niet in onderhoud</v>
      </c>
      <c r="L166" s="187" t="s">
        <v>109</v>
      </c>
      <c r="M166" s="249" t="s">
        <v>1203</v>
      </c>
      <c r="N166" s="200"/>
      <c r="O166" s="190">
        <v>2.9</v>
      </c>
      <c r="P166" s="231" t="str">
        <f>VLOOKUP(Ruimtestaat[[#This Row],[Ruimte code]],Ruimtegroepen[#All],4,FALSE)</f>
        <v>V  (Verkeersruimte)</v>
      </c>
      <c r="Q166" s="201"/>
      <c r="R166" s="202">
        <v>42</v>
      </c>
      <c r="S166" s="202" t="s">
        <v>15</v>
      </c>
      <c r="T166" s="202">
        <f>IF(R166&gt;0,IF(RIGHT(Ruimtestaat[[#This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166" s="202">
        <f>IF(T166&gt;0,VLOOKUP($J166,Ruimtegroepen[],3,FALSE)*VLOOKUP($L166,Vloersoorten[],3,FALSE)*VLOOKUP($S166,Frequenties[],3,FALSE)*VLOOKUP($A166,Locaties[],3,FALSE),0)</f>
        <v>0</v>
      </c>
      <c r="V166" s="202">
        <f>Ruimtestaat[[#This Row],[Uitvoeringen werkdagen]]*Ruimtestaat[[#This Row],[Oppervlak (netto)]]</f>
        <v>0</v>
      </c>
      <c r="W166" s="242">
        <f>IF(U166&gt;0,Ruimtestaat[[#This Row],[Prest. (m2 /jaar) werkdagen]]/Ruimtestaat[[#This Row],[Norm (m2/uur) werkdagen]],0)</f>
        <v>0</v>
      </c>
      <c r="X166" s="243">
        <f>Ruimtestaat[[#This Row],[uren / jaar werkdagen]]*Tariefsopbouw!$D$38</f>
        <v>0</v>
      </c>
      <c r="Y166" s="33"/>
      <c r="Z166" s="33">
        <f>IF(Ruimtestaat[[#This Row],[Frequentie weekend]]&gt;0,VALUE(LEFT(Y166,1))*R166,0)</f>
        <v>0</v>
      </c>
      <c r="AA166" s="33">
        <f>IF($Z166&gt;0,VLOOKUP($J166,Ruimtegroepen[],3,FALSE)*VLOOKUP($L166,Vloersoorten[],3,FALSE)*VLOOKUP($Y166,Frequenties[],3,FALSE)*VLOOKUP(#REF!,Locaties[],3,FALSE),0)</f>
        <v>0</v>
      </c>
      <c r="AB166" s="33"/>
      <c r="AC166" s="33"/>
      <c r="AD166" s="33">
        <f>Ruimtestaat[[#This Row],[uren / jaar weekend]]*Tariefsopbouw!$D$40</f>
        <v>0</v>
      </c>
      <c r="AE166" s="86">
        <f>Ruimtestaat[[#This Row],[Prest. (m2 /jaar) weekend]]+Ruimtestaat[[#This Row],[Prest. (m2 /jaar) werkdagen]]</f>
        <v>0</v>
      </c>
      <c r="AF166" s="86">
        <f>Ruimtestaat[[#This Row],[uren / jaar weekend]]+Ruimtestaat[[#This Row],[uren / jaar werkdagen]]</f>
        <v>0</v>
      </c>
      <c r="AG166" s="87">
        <f>Ruimtestaat[[#This Row],[kosten / jaar weekend]]+Ruimtestaat[[#This Row],[kosten / jaar werkdagen]]</f>
        <v>0</v>
      </c>
    </row>
    <row r="167" spans="1:33" ht="15" customHeight="1">
      <c r="A167" s="246">
        <v>2</v>
      </c>
      <c r="B167" s="21" t="str">
        <f>VLOOKUP(Ruimtestaat[[#This Row],[Code]],Locaties[#All],2,FALSE)</f>
        <v>Losser</v>
      </c>
      <c r="C167" s="247" t="str">
        <f>VLOOKUP(Ruimtestaat[[#This Row],[Code]],Locaties[#All],4,FALSE)</f>
        <v>Oranjestraat 2</v>
      </c>
      <c r="D167" s="247" t="str">
        <f>VLOOKUP(Ruimtestaat[[#This Row],[Code]],Locaties[#All],5,FALSE)</f>
        <v>7607 BJ </v>
      </c>
      <c r="E167" s="187" t="str">
        <f>VLOOKUP(Ruimtestaat[[#This Row],[Code]],Locaties[#All],6,FALSE)</f>
        <v>Losser</v>
      </c>
      <c r="F167" s="248"/>
      <c r="G167" s="246" t="s">
        <v>679</v>
      </c>
      <c r="H167" s="246" t="s">
        <v>554</v>
      </c>
      <c r="I167" s="248" t="s">
        <v>1171</v>
      </c>
      <c r="J167" s="187">
        <v>5</v>
      </c>
      <c r="K167" s="187" t="str">
        <f>VLOOKUP(Ruimtestaat[[#This Row],[Ruimte code]],Ruimtegroepen[#All],2,FALSE)</f>
        <v>Sanitair</v>
      </c>
      <c r="L167" s="202" t="s">
        <v>108</v>
      </c>
      <c r="M167" s="249" t="s">
        <v>1206</v>
      </c>
      <c r="N167" s="200">
        <v>3.5</v>
      </c>
      <c r="O167" s="190"/>
      <c r="P167" s="231" t="str">
        <f>VLOOKUP(Ruimtestaat[[#This Row],[Ruimte code]],Ruimtegroepen[#All],4,FALSE)</f>
        <v>S  (Sanitair)</v>
      </c>
      <c r="Q167" s="201"/>
      <c r="R167" s="202">
        <v>42</v>
      </c>
      <c r="S167" s="202" t="s">
        <v>2</v>
      </c>
      <c r="T167" s="202">
        <f>IF(R167&gt;0,IF(RIGHT(Ruimtestaat[[#This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67" s="202">
        <f>IF(T167&gt;0,VLOOKUP($J167,Ruimtegroepen[],3,FALSE)*VLOOKUP($L167,Vloersoorten[],3,FALSE)*VLOOKUP($S167,Frequenties[],3,FALSE)*VLOOKUP($A167,Locaties[],3,FALSE),0)</f>
        <v>0</v>
      </c>
      <c r="V167" s="202">
        <f>Ruimtestaat[[#This Row],[Uitvoeringen werkdagen]]*Ruimtestaat[[#This Row],[Oppervlak (netto)]]</f>
        <v>735</v>
      </c>
      <c r="W167" s="242">
        <f>IF(U167&gt;0,Ruimtestaat[[#This Row],[Prest. (m2 /jaar) werkdagen]]/Ruimtestaat[[#This Row],[Norm (m2/uur) werkdagen]],0)</f>
        <v>0</v>
      </c>
      <c r="X167" s="243">
        <f>Ruimtestaat[[#This Row],[uren / jaar werkdagen]]*Tariefsopbouw!$D$38</f>
        <v>0</v>
      </c>
      <c r="Y167" s="33"/>
      <c r="Z167" s="33">
        <f>IF(Ruimtestaat[[#This Row],[Frequentie weekend]]&gt;0,VALUE(LEFT(Y167,1))*R167,0)</f>
        <v>0</v>
      </c>
      <c r="AA167" s="33">
        <f>IF($Z167&gt;0,VLOOKUP($J167,Ruimtegroepen[],3,FALSE)*VLOOKUP($L167,Vloersoorten[],3,FALSE)*VLOOKUP($Y167,Frequenties[],3,FALSE)*VLOOKUP(#REF!,Locaties[],3,FALSE),0)</f>
        <v>0</v>
      </c>
      <c r="AB167" s="33"/>
      <c r="AC167" s="33"/>
      <c r="AD167" s="33">
        <f>Ruimtestaat[[#This Row],[uren / jaar weekend]]*Tariefsopbouw!$D$40</f>
        <v>0</v>
      </c>
      <c r="AE167" s="86">
        <f>Ruimtestaat[[#This Row],[Prest. (m2 /jaar) weekend]]+Ruimtestaat[[#This Row],[Prest. (m2 /jaar) werkdagen]]</f>
        <v>735</v>
      </c>
      <c r="AF167" s="86">
        <f>Ruimtestaat[[#This Row],[uren / jaar weekend]]+Ruimtestaat[[#This Row],[uren / jaar werkdagen]]</f>
        <v>0</v>
      </c>
      <c r="AG167" s="87">
        <f>Ruimtestaat[[#This Row],[kosten / jaar weekend]]+Ruimtestaat[[#This Row],[kosten / jaar werkdagen]]</f>
        <v>0</v>
      </c>
    </row>
    <row r="168" spans="1:33" ht="15" customHeight="1">
      <c r="A168" s="246">
        <v>2</v>
      </c>
      <c r="B168" s="21" t="str">
        <f>VLOOKUP(Ruimtestaat[[#This Row],[Code]],Locaties[#All],2,FALSE)</f>
        <v>Losser</v>
      </c>
      <c r="C168" s="247" t="str">
        <f>VLOOKUP(Ruimtestaat[[#This Row],[Code]],Locaties[#All],4,FALSE)</f>
        <v>Oranjestraat 2</v>
      </c>
      <c r="D168" s="247" t="str">
        <f>VLOOKUP(Ruimtestaat[[#This Row],[Code]],Locaties[#All],5,FALSE)</f>
        <v>7607 BJ </v>
      </c>
      <c r="E168" s="187" t="str">
        <f>VLOOKUP(Ruimtestaat[[#This Row],[Code]],Locaties[#All],6,FALSE)</f>
        <v>Losser</v>
      </c>
      <c r="F168" s="248"/>
      <c r="G168" s="246" t="s">
        <v>679</v>
      </c>
      <c r="H168" s="246" t="s">
        <v>555</v>
      </c>
      <c r="I168" s="248" t="s">
        <v>1155</v>
      </c>
      <c r="J168" s="187">
        <v>5</v>
      </c>
      <c r="K168" s="187" t="str">
        <f>VLOOKUP(Ruimtestaat[[#This Row],[Ruimte code]],Ruimtegroepen[#All],2,FALSE)</f>
        <v>Sanitair</v>
      </c>
      <c r="L168" s="202" t="s">
        <v>108</v>
      </c>
      <c r="M168" s="249" t="s">
        <v>1206</v>
      </c>
      <c r="N168" s="200">
        <v>4.5999999999999996</v>
      </c>
      <c r="O168" s="190"/>
      <c r="P168" s="231" t="str">
        <f>VLOOKUP(Ruimtestaat[[#This Row],[Ruimte code]],Ruimtegroepen[#All],4,FALSE)</f>
        <v>S  (Sanitair)</v>
      </c>
      <c r="Q168" s="201"/>
      <c r="R168" s="202">
        <v>42</v>
      </c>
      <c r="S168" s="202" t="s">
        <v>2</v>
      </c>
      <c r="T168" s="202">
        <f>IF(R168&gt;0,IF(RIGHT(Ruimtestaat[[#This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68" s="202">
        <f>IF(T168&gt;0,VLOOKUP($J168,Ruimtegroepen[],3,FALSE)*VLOOKUP($L168,Vloersoorten[],3,FALSE)*VLOOKUP($S168,Frequenties[],3,FALSE)*VLOOKUP($A168,Locaties[],3,FALSE),0)</f>
        <v>0</v>
      </c>
      <c r="V168" s="202">
        <f>Ruimtestaat[[#This Row],[Uitvoeringen werkdagen]]*Ruimtestaat[[#This Row],[Oppervlak (netto)]]</f>
        <v>965.99999999999989</v>
      </c>
      <c r="W168" s="242">
        <f>IF(U168&gt;0,Ruimtestaat[[#This Row],[Prest. (m2 /jaar) werkdagen]]/Ruimtestaat[[#This Row],[Norm (m2/uur) werkdagen]],0)</f>
        <v>0</v>
      </c>
      <c r="X168" s="243">
        <f>Ruimtestaat[[#This Row],[uren / jaar werkdagen]]*Tariefsopbouw!$D$38</f>
        <v>0</v>
      </c>
      <c r="Y168" s="33"/>
      <c r="Z168" s="33">
        <f>IF(Ruimtestaat[[#This Row],[Frequentie weekend]]&gt;0,VALUE(LEFT(Y168,1))*R168,0)</f>
        <v>0</v>
      </c>
      <c r="AA168" s="33">
        <f>IF($Z168&gt;0,VLOOKUP($J168,Ruimtegroepen[],3,FALSE)*VLOOKUP($L168,Vloersoorten[],3,FALSE)*VLOOKUP($Y168,Frequenties[],3,FALSE)*VLOOKUP(#REF!,Locaties[],3,FALSE),0)</f>
        <v>0</v>
      </c>
      <c r="AB168" s="33"/>
      <c r="AC168" s="33"/>
      <c r="AD168" s="33">
        <f>Ruimtestaat[[#This Row],[uren / jaar weekend]]*Tariefsopbouw!$D$40</f>
        <v>0</v>
      </c>
      <c r="AE168" s="86">
        <f>Ruimtestaat[[#This Row],[Prest. (m2 /jaar) weekend]]+Ruimtestaat[[#This Row],[Prest. (m2 /jaar) werkdagen]]</f>
        <v>965.99999999999989</v>
      </c>
      <c r="AF168" s="86">
        <f>Ruimtestaat[[#This Row],[uren / jaar weekend]]+Ruimtestaat[[#This Row],[uren / jaar werkdagen]]</f>
        <v>0</v>
      </c>
      <c r="AG168" s="87">
        <f>Ruimtestaat[[#This Row],[kosten / jaar weekend]]+Ruimtestaat[[#This Row],[kosten / jaar werkdagen]]</f>
        <v>0</v>
      </c>
    </row>
    <row r="169" spans="1:33" ht="15" customHeight="1">
      <c r="A169" s="246">
        <v>2</v>
      </c>
      <c r="B169" s="21" t="str">
        <f>VLOOKUP(Ruimtestaat[[#This Row],[Code]],Locaties[#All],2,FALSE)</f>
        <v>Losser</v>
      </c>
      <c r="C169" s="247" t="str">
        <f>VLOOKUP(Ruimtestaat[[#This Row],[Code]],Locaties[#All],4,FALSE)</f>
        <v>Oranjestraat 2</v>
      </c>
      <c r="D169" s="247" t="str">
        <f>VLOOKUP(Ruimtestaat[[#This Row],[Code]],Locaties[#All],5,FALSE)</f>
        <v>7607 BJ </v>
      </c>
      <c r="E169" s="187" t="str">
        <f>VLOOKUP(Ruimtestaat[[#This Row],[Code]],Locaties[#All],6,FALSE)</f>
        <v>Losser</v>
      </c>
      <c r="F169" s="248"/>
      <c r="G169" s="246" t="s">
        <v>679</v>
      </c>
      <c r="H169" s="246" t="s">
        <v>556</v>
      </c>
      <c r="I169" s="248" t="s">
        <v>1169</v>
      </c>
      <c r="J169" s="187">
        <v>4</v>
      </c>
      <c r="K169" s="187" t="str">
        <f>VLOOKUP(Ruimtestaat[[#This Row],[Ruimte code]],Ruimtegroepen[#All],2,FALSE)</f>
        <v>Vergader/spreekkamers</v>
      </c>
      <c r="L169" s="187" t="s">
        <v>109</v>
      </c>
      <c r="M169" s="249" t="s">
        <v>1203</v>
      </c>
      <c r="N169" s="200">
        <v>10.5</v>
      </c>
      <c r="O169" s="190"/>
      <c r="P169" s="231" t="str">
        <f>VLOOKUP(Ruimtestaat[[#This Row],[Ruimte code]],Ruimtegroepen[#All],4,FALSE)</f>
        <v>B  (Bureauruimte)</v>
      </c>
      <c r="Q169" s="201"/>
      <c r="R169" s="202">
        <v>42</v>
      </c>
      <c r="S169" s="202" t="s">
        <v>2</v>
      </c>
      <c r="T169" s="202">
        <f>IF(R169&gt;0,IF(RIGHT(Ruimtestaat[[#This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69" s="202">
        <f>IF(T169&gt;0,VLOOKUP($J169,Ruimtegroepen[],3,FALSE)*VLOOKUP($L169,Vloersoorten[],3,FALSE)*VLOOKUP($S169,Frequenties[],3,FALSE)*VLOOKUP($A169,Locaties[],3,FALSE),0)</f>
        <v>0</v>
      </c>
      <c r="V169" s="202">
        <f>Ruimtestaat[[#This Row],[Uitvoeringen werkdagen]]*Ruimtestaat[[#This Row],[Oppervlak (netto)]]</f>
        <v>2205</v>
      </c>
      <c r="W169" s="242">
        <f>IF(U169&gt;0,Ruimtestaat[[#This Row],[Prest. (m2 /jaar) werkdagen]]/Ruimtestaat[[#This Row],[Norm (m2/uur) werkdagen]],0)</f>
        <v>0</v>
      </c>
      <c r="X169" s="243">
        <f>Ruimtestaat[[#This Row],[uren / jaar werkdagen]]*Tariefsopbouw!$D$38</f>
        <v>0</v>
      </c>
      <c r="Y169" s="33"/>
      <c r="Z169" s="33">
        <f>IF(Ruimtestaat[[#This Row],[Frequentie weekend]]&gt;0,VALUE(LEFT(Y169,1))*R169,0)</f>
        <v>0</v>
      </c>
      <c r="AA169" s="33">
        <f>IF($Z169&gt;0,VLOOKUP($J169,Ruimtegroepen[],3,FALSE)*VLOOKUP($L169,Vloersoorten[],3,FALSE)*VLOOKUP($Y169,Frequenties[],3,FALSE)*VLOOKUP(#REF!,Locaties[],3,FALSE),0)</f>
        <v>0</v>
      </c>
      <c r="AB169" s="33"/>
      <c r="AC169" s="33"/>
      <c r="AD169" s="33">
        <f>Ruimtestaat[[#This Row],[uren / jaar weekend]]*Tariefsopbouw!$D$40</f>
        <v>0</v>
      </c>
      <c r="AE169" s="86">
        <f>Ruimtestaat[[#This Row],[Prest. (m2 /jaar) weekend]]+Ruimtestaat[[#This Row],[Prest. (m2 /jaar) werkdagen]]</f>
        <v>2205</v>
      </c>
      <c r="AF169" s="86">
        <f>Ruimtestaat[[#This Row],[uren / jaar weekend]]+Ruimtestaat[[#This Row],[uren / jaar werkdagen]]</f>
        <v>0</v>
      </c>
      <c r="AG169" s="87">
        <f>Ruimtestaat[[#This Row],[kosten / jaar weekend]]+Ruimtestaat[[#This Row],[kosten / jaar werkdagen]]</f>
        <v>0</v>
      </c>
    </row>
    <row r="170" spans="1:33" ht="15" customHeight="1">
      <c r="A170" s="246">
        <v>2</v>
      </c>
      <c r="B170" s="21" t="str">
        <f>VLOOKUP(Ruimtestaat[[#This Row],[Code]],Locaties[#All],2,FALSE)</f>
        <v>Losser</v>
      </c>
      <c r="C170" s="247" t="str">
        <f>VLOOKUP(Ruimtestaat[[#This Row],[Code]],Locaties[#All],4,FALSE)</f>
        <v>Oranjestraat 2</v>
      </c>
      <c r="D170" s="247" t="str">
        <f>VLOOKUP(Ruimtestaat[[#This Row],[Code]],Locaties[#All],5,FALSE)</f>
        <v>7607 BJ </v>
      </c>
      <c r="E170" s="187" t="str">
        <f>VLOOKUP(Ruimtestaat[[#This Row],[Code]],Locaties[#All],6,FALSE)</f>
        <v>Losser</v>
      </c>
      <c r="F170" s="248"/>
      <c r="G170" s="246" t="s">
        <v>679</v>
      </c>
      <c r="H170" s="246" t="s">
        <v>558</v>
      </c>
      <c r="I170" s="248" t="s">
        <v>509</v>
      </c>
      <c r="J170" s="187">
        <v>5</v>
      </c>
      <c r="K170" s="187" t="str">
        <f>VLOOKUP(Ruimtestaat[[#This Row],[Ruimte code]],Ruimtegroepen[#All],2,FALSE)</f>
        <v>Sanitair</v>
      </c>
      <c r="L170" s="202" t="s">
        <v>108</v>
      </c>
      <c r="M170" s="249" t="s">
        <v>1206</v>
      </c>
      <c r="N170" s="200">
        <v>1.1000000000000001</v>
      </c>
      <c r="O170" s="190"/>
      <c r="P170" s="231" t="str">
        <f>VLOOKUP(Ruimtestaat[[#This Row],[Ruimte code]],Ruimtegroepen[#All],4,FALSE)</f>
        <v>S  (Sanitair)</v>
      </c>
      <c r="Q170" s="201"/>
      <c r="R170" s="202">
        <v>42</v>
      </c>
      <c r="S170" s="202" t="s">
        <v>2</v>
      </c>
      <c r="T170" s="202">
        <f>IF(R170&gt;0,IF(RIGHT(Ruimtestaat[[#This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70" s="202">
        <f>IF(T170&gt;0,VLOOKUP($J170,Ruimtegroepen[],3,FALSE)*VLOOKUP($L170,Vloersoorten[],3,FALSE)*VLOOKUP($S170,Frequenties[],3,FALSE)*VLOOKUP($A170,Locaties[],3,FALSE),0)</f>
        <v>0</v>
      </c>
      <c r="V170" s="202">
        <f>Ruimtestaat[[#This Row],[Uitvoeringen werkdagen]]*Ruimtestaat[[#This Row],[Oppervlak (netto)]]</f>
        <v>231.00000000000003</v>
      </c>
      <c r="W170" s="242">
        <f>IF(U170&gt;0,Ruimtestaat[[#This Row],[Prest. (m2 /jaar) werkdagen]]/Ruimtestaat[[#This Row],[Norm (m2/uur) werkdagen]],0)</f>
        <v>0</v>
      </c>
      <c r="X170" s="243">
        <f>Ruimtestaat[[#This Row],[uren / jaar werkdagen]]*Tariefsopbouw!$D$38</f>
        <v>0</v>
      </c>
      <c r="Y170" s="33"/>
      <c r="Z170" s="33">
        <f>IF(Ruimtestaat[[#This Row],[Frequentie weekend]]&gt;0,VALUE(LEFT(Y170,1))*R170,0)</f>
        <v>0</v>
      </c>
      <c r="AA170" s="33">
        <f>IF($Z170&gt;0,VLOOKUP($J170,Ruimtegroepen[],3,FALSE)*VLOOKUP($L170,Vloersoorten[],3,FALSE)*VLOOKUP($Y170,Frequenties[],3,FALSE)*VLOOKUP(#REF!,Locaties[],3,FALSE),0)</f>
        <v>0</v>
      </c>
      <c r="AB170" s="33"/>
      <c r="AC170" s="33"/>
      <c r="AD170" s="33">
        <f>Ruimtestaat[[#This Row],[uren / jaar weekend]]*Tariefsopbouw!$D$40</f>
        <v>0</v>
      </c>
      <c r="AE170" s="86">
        <f>Ruimtestaat[[#This Row],[Prest. (m2 /jaar) weekend]]+Ruimtestaat[[#This Row],[Prest. (m2 /jaar) werkdagen]]</f>
        <v>231.00000000000003</v>
      </c>
      <c r="AF170" s="86">
        <f>Ruimtestaat[[#This Row],[uren / jaar weekend]]+Ruimtestaat[[#This Row],[uren / jaar werkdagen]]</f>
        <v>0</v>
      </c>
      <c r="AG170" s="87">
        <f>Ruimtestaat[[#This Row],[kosten / jaar weekend]]+Ruimtestaat[[#This Row],[kosten / jaar werkdagen]]</f>
        <v>0</v>
      </c>
    </row>
    <row r="171" spans="1:33" ht="15" customHeight="1">
      <c r="A171" s="246">
        <v>2</v>
      </c>
      <c r="B171" s="21" t="str">
        <f>VLOOKUP(Ruimtestaat[[#This Row],[Code]],Locaties[#All],2,FALSE)</f>
        <v>Losser</v>
      </c>
      <c r="C171" s="247" t="str">
        <f>VLOOKUP(Ruimtestaat[[#This Row],[Code]],Locaties[#All],4,FALSE)</f>
        <v>Oranjestraat 2</v>
      </c>
      <c r="D171" s="247" t="str">
        <f>VLOOKUP(Ruimtestaat[[#This Row],[Code]],Locaties[#All],5,FALSE)</f>
        <v>7607 BJ </v>
      </c>
      <c r="E171" s="187" t="str">
        <f>VLOOKUP(Ruimtestaat[[#This Row],[Code]],Locaties[#All],6,FALSE)</f>
        <v>Losser</v>
      </c>
      <c r="F171" s="248"/>
      <c r="G171" s="246" t="s">
        <v>679</v>
      </c>
      <c r="H171" s="246" t="s">
        <v>559</v>
      </c>
      <c r="I171" s="248" t="s">
        <v>509</v>
      </c>
      <c r="J171" s="187">
        <v>5</v>
      </c>
      <c r="K171" s="187" t="str">
        <f>VLOOKUP(Ruimtestaat[[#This Row],[Ruimte code]],Ruimtegroepen[#All],2,FALSE)</f>
        <v>Sanitair</v>
      </c>
      <c r="L171" s="202" t="s">
        <v>108</v>
      </c>
      <c r="M171" s="249" t="s">
        <v>1206</v>
      </c>
      <c r="N171" s="200">
        <v>1.1000000000000001</v>
      </c>
      <c r="O171" s="190"/>
      <c r="P171" s="231" t="str">
        <f>VLOOKUP(Ruimtestaat[[#This Row],[Ruimte code]],Ruimtegroepen[#All],4,FALSE)</f>
        <v>S  (Sanitair)</v>
      </c>
      <c r="Q171" s="201"/>
      <c r="R171" s="202">
        <v>42</v>
      </c>
      <c r="S171" s="202" t="s">
        <v>2</v>
      </c>
      <c r="T171" s="202">
        <f>IF(R171&gt;0,IF(RIGHT(Ruimtestaat[[#This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71" s="202">
        <f>IF(T171&gt;0,VLOOKUP($J171,Ruimtegroepen[],3,FALSE)*VLOOKUP($L171,Vloersoorten[],3,FALSE)*VLOOKUP($S171,Frequenties[],3,FALSE)*VLOOKUP($A171,Locaties[],3,FALSE),0)</f>
        <v>0</v>
      </c>
      <c r="V171" s="202">
        <f>Ruimtestaat[[#This Row],[Uitvoeringen werkdagen]]*Ruimtestaat[[#This Row],[Oppervlak (netto)]]</f>
        <v>231.00000000000003</v>
      </c>
      <c r="W171" s="242">
        <f>IF(U171&gt;0,Ruimtestaat[[#This Row],[Prest. (m2 /jaar) werkdagen]]/Ruimtestaat[[#This Row],[Norm (m2/uur) werkdagen]],0)</f>
        <v>0</v>
      </c>
      <c r="X171" s="243">
        <f>Ruimtestaat[[#This Row],[uren / jaar werkdagen]]*Tariefsopbouw!$D$38</f>
        <v>0</v>
      </c>
      <c r="Y171" s="33"/>
      <c r="Z171" s="33">
        <f>IF(Ruimtestaat[[#This Row],[Frequentie weekend]]&gt;0,VALUE(LEFT(Y171,1))*R171,0)</f>
        <v>0</v>
      </c>
      <c r="AA171" s="33">
        <f>IF($Z171&gt;0,VLOOKUP($J171,Ruimtegroepen[],3,FALSE)*VLOOKUP($L171,Vloersoorten[],3,FALSE)*VLOOKUP($Y171,Frequenties[],3,FALSE)*VLOOKUP(#REF!,Locaties[],3,FALSE),0)</f>
        <v>0</v>
      </c>
      <c r="AB171" s="33"/>
      <c r="AC171" s="33"/>
      <c r="AD171" s="33">
        <f>Ruimtestaat[[#This Row],[uren / jaar weekend]]*Tariefsopbouw!$D$40</f>
        <v>0</v>
      </c>
      <c r="AE171" s="86">
        <f>Ruimtestaat[[#This Row],[Prest. (m2 /jaar) weekend]]+Ruimtestaat[[#This Row],[Prest. (m2 /jaar) werkdagen]]</f>
        <v>231.00000000000003</v>
      </c>
      <c r="AF171" s="86">
        <f>Ruimtestaat[[#This Row],[uren / jaar weekend]]+Ruimtestaat[[#This Row],[uren / jaar werkdagen]]</f>
        <v>0</v>
      </c>
      <c r="AG171" s="87">
        <f>Ruimtestaat[[#This Row],[kosten / jaar weekend]]+Ruimtestaat[[#This Row],[kosten / jaar werkdagen]]</f>
        <v>0</v>
      </c>
    </row>
    <row r="172" spans="1:33" ht="15" customHeight="1">
      <c r="A172" s="246">
        <v>2</v>
      </c>
      <c r="B172" s="21" t="str">
        <f>VLOOKUP(Ruimtestaat[[#This Row],[Code]],Locaties[#All],2,FALSE)</f>
        <v>Losser</v>
      </c>
      <c r="C172" s="247" t="str">
        <f>VLOOKUP(Ruimtestaat[[#This Row],[Code]],Locaties[#All],4,FALSE)</f>
        <v>Oranjestraat 2</v>
      </c>
      <c r="D172" s="247" t="str">
        <f>VLOOKUP(Ruimtestaat[[#This Row],[Code]],Locaties[#All],5,FALSE)</f>
        <v>7607 BJ </v>
      </c>
      <c r="E172" s="187" t="str">
        <f>VLOOKUP(Ruimtestaat[[#This Row],[Code]],Locaties[#All],6,FALSE)</f>
        <v>Losser</v>
      </c>
      <c r="F172" s="248"/>
      <c r="G172" s="246" t="s">
        <v>679</v>
      </c>
      <c r="H172" s="246" t="s">
        <v>560</v>
      </c>
      <c r="I172" s="248" t="s">
        <v>509</v>
      </c>
      <c r="J172" s="187">
        <v>5</v>
      </c>
      <c r="K172" s="187" t="str">
        <f>VLOOKUP(Ruimtestaat[[#This Row],[Ruimte code]],Ruimtegroepen[#All],2,FALSE)</f>
        <v>Sanitair</v>
      </c>
      <c r="L172" s="202" t="s">
        <v>108</v>
      </c>
      <c r="M172" s="249" t="s">
        <v>1206</v>
      </c>
      <c r="N172" s="200">
        <v>1.2</v>
      </c>
      <c r="O172" s="190"/>
      <c r="P172" s="231" t="str">
        <f>VLOOKUP(Ruimtestaat[[#This Row],[Ruimte code]],Ruimtegroepen[#All],4,FALSE)</f>
        <v>S  (Sanitair)</v>
      </c>
      <c r="Q172" s="201"/>
      <c r="R172" s="202">
        <v>42</v>
      </c>
      <c r="S172" s="202" t="s">
        <v>2</v>
      </c>
      <c r="T172" s="202">
        <f>IF(R172&gt;0,IF(RIGHT(Ruimtestaat[[#This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72" s="202">
        <f>IF(T172&gt;0,VLOOKUP($J172,Ruimtegroepen[],3,FALSE)*VLOOKUP($L172,Vloersoorten[],3,FALSE)*VLOOKUP($S172,Frequenties[],3,FALSE)*VLOOKUP($A172,Locaties[],3,FALSE),0)</f>
        <v>0</v>
      </c>
      <c r="V172" s="202">
        <f>Ruimtestaat[[#This Row],[Uitvoeringen werkdagen]]*Ruimtestaat[[#This Row],[Oppervlak (netto)]]</f>
        <v>252</v>
      </c>
      <c r="W172" s="242">
        <f>IF(U172&gt;0,Ruimtestaat[[#This Row],[Prest. (m2 /jaar) werkdagen]]/Ruimtestaat[[#This Row],[Norm (m2/uur) werkdagen]],0)</f>
        <v>0</v>
      </c>
      <c r="X172" s="243">
        <f>Ruimtestaat[[#This Row],[uren / jaar werkdagen]]*Tariefsopbouw!$D$38</f>
        <v>0</v>
      </c>
      <c r="Y172" s="33"/>
      <c r="Z172" s="33">
        <f>IF(Ruimtestaat[[#This Row],[Frequentie weekend]]&gt;0,VALUE(LEFT(Y172,1))*R172,0)</f>
        <v>0</v>
      </c>
      <c r="AA172" s="33">
        <f>IF($Z172&gt;0,VLOOKUP($J172,Ruimtegroepen[],3,FALSE)*VLOOKUP($L172,Vloersoorten[],3,FALSE)*VLOOKUP($Y172,Frequenties[],3,FALSE)*VLOOKUP(#REF!,Locaties[],3,FALSE),0)</f>
        <v>0</v>
      </c>
      <c r="AB172" s="33"/>
      <c r="AC172" s="33"/>
      <c r="AD172" s="33">
        <f>Ruimtestaat[[#This Row],[uren / jaar weekend]]*Tariefsopbouw!$D$40</f>
        <v>0</v>
      </c>
      <c r="AE172" s="86">
        <f>Ruimtestaat[[#This Row],[Prest. (m2 /jaar) weekend]]+Ruimtestaat[[#This Row],[Prest. (m2 /jaar) werkdagen]]</f>
        <v>252</v>
      </c>
      <c r="AF172" s="86">
        <f>Ruimtestaat[[#This Row],[uren / jaar weekend]]+Ruimtestaat[[#This Row],[uren / jaar werkdagen]]</f>
        <v>0</v>
      </c>
      <c r="AG172" s="87">
        <f>Ruimtestaat[[#This Row],[kosten / jaar weekend]]+Ruimtestaat[[#This Row],[kosten / jaar werkdagen]]</f>
        <v>0</v>
      </c>
    </row>
    <row r="173" spans="1:33" ht="15" customHeight="1">
      <c r="A173" s="246">
        <v>2</v>
      </c>
      <c r="B173" s="21" t="str">
        <f>VLOOKUP(Ruimtestaat[[#This Row],[Code]],Locaties[#All],2,FALSE)</f>
        <v>Losser</v>
      </c>
      <c r="C173" s="247" t="str">
        <f>VLOOKUP(Ruimtestaat[[#This Row],[Code]],Locaties[#All],4,FALSE)</f>
        <v>Oranjestraat 2</v>
      </c>
      <c r="D173" s="247" t="str">
        <f>VLOOKUP(Ruimtestaat[[#This Row],[Code]],Locaties[#All],5,FALSE)</f>
        <v>7607 BJ </v>
      </c>
      <c r="E173" s="187" t="str">
        <f>VLOOKUP(Ruimtestaat[[#This Row],[Code]],Locaties[#All],6,FALSE)</f>
        <v>Losser</v>
      </c>
      <c r="F173" s="248"/>
      <c r="G173" s="246" t="s">
        <v>679</v>
      </c>
      <c r="H173" s="246" t="s">
        <v>561</v>
      </c>
      <c r="I173" s="248" t="s">
        <v>1155</v>
      </c>
      <c r="J173" s="187">
        <v>5</v>
      </c>
      <c r="K173" s="187" t="str">
        <f>VLOOKUP(Ruimtestaat[[#This Row],[Ruimte code]],Ruimtegroepen[#All],2,FALSE)</f>
        <v>Sanitair</v>
      </c>
      <c r="L173" s="202" t="s">
        <v>108</v>
      </c>
      <c r="M173" s="249" t="s">
        <v>1206</v>
      </c>
      <c r="N173" s="200">
        <v>5.5</v>
      </c>
      <c r="O173" s="190"/>
      <c r="P173" s="231" t="str">
        <f>VLOOKUP(Ruimtestaat[[#This Row],[Ruimte code]],Ruimtegroepen[#All],4,FALSE)</f>
        <v>S  (Sanitair)</v>
      </c>
      <c r="Q173" s="201"/>
      <c r="R173" s="202">
        <v>42</v>
      </c>
      <c r="S173" s="202" t="s">
        <v>2</v>
      </c>
      <c r="T173" s="202">
        <f>IF(R173&gt;0,IF(RIGHT(Ruimtestaat[[#This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73" s="202">
        <f>IF(T173&gt;0,VLOOKUP($J173,Ruimtegroepen[],3,FALSE)*VLOOKUP($L173,Vloersoorten[],3,FALSE)*VLOOKUP($S173,Frequenties[],3,FALSE)*VLOOKUP($A173,Locaties[],3,FALSE),0)</f>
        <v>0</v>
      </c>
      <c r="V173" s="202">
        <f>Ruimtestaat[[#This Row],[Uitvoeringen werkdagen]]*Ruimtestaat[[#This Row],[Oppervlak (netto)]]</f>
        <v>1155</v>
      </c>
      <c r="W173" s="242">
        <f>IF(U173&gt;0,Ruimtestaat[[#This Row],[Prest. (m2 /jaar) werkdagen]]/Ruimtestaat[[#This Row],[Norm (m2/uur) werkdagen]],0)</f>
        <v>0</v>
      </c>
      <c r="X173" s="243">
        <f>Ruimtestaat[[#This Row],[uren / jaar werkdagen]]*Tariefsopbouw!$D$38</f>
        <v>0</v>
      </c>
      <c r="Y173" s="33"/>
      <c r="Z173" s="33">
        <f>IF(Ruimtestaat[[#This Row],[Frequentie weekend]]&gt;0,VALUE(LEFT(Y173,1))*R173,0)</f>
        <v>0</v>
      </c>
      <c r="AA173" s="33">
        <f>IF($Z173&gt;0,VLOOKUP($J173,Ruimtegroepen[],3,FALSE)*VLOOKUP($L173,Vloersoorten[],3,FALSE)*VLOOKUP($Y173,Frequenties[],3,FALSE)*VLOOKUP(#REF!,Locaties[],3,FALSE),0)</f>
        <v>0</v>
      </c>
      <c r="AB173" s="33"/>
      <c r="AC173" s="33"/>
      <c r="AD173" s="33">
        <f>Ruimtestaat[[#This Row],[uren / jaar weekend]]*Tariefsopbouw!$D$40</f>
        <v>0</v>
      </c>
      <c r="AE173" s="86">
        <f>Ruimtestaat[[#This Row],[Prest. (m2 /jaar) weekend]]+Ruimtestaat[[#This Row],[Prest. (m2 /jaar) werkdagen]]</f>
        <v>1155</v>
      </c>
      <c r="AF173" s="86">
        <f>Ruimtestaat[[#This Row],[uren / jaar weekend]]+Ruimtestaat[[#This Row],[uren / jaar werkdagen]]</f>
        <v>0</v>
      </c>
      <c r="AG173" s="87">
        <f>Ruimtestaat[[#This Row],[kosten / jaar weekend]]+Ruimtestaat[[#This Row],[kosten / jaar werkdagen]]</f>
        <v>0</v>
      </c>
    </row>
    <row r="174" spans="1:33" ht="15" customHeight="1">
      <c r="A174" s="246">
        <v>2</v>
      </c>
      <c r="B174" s="21" t="str">
        <f>VLOOKUP(Ruimtestaat[[#This Row],[Code]],Locaties[#All],2,FALSE)</f>
        <v>Losser</v>
      </c>
      <c r="C174" s="247" t="str">
        <f>VLOOKUP(Ruimtestaat[[#This Row],[Code]],Locaties[#All],4,FALSE)</f>
        <v>Oranjestraat 2</v>
      </c>
      <c r="D174" s="247" t="str">
        <f>VLOOKUP(Ruimtestaat[[#This Row],[Code]],Locaties[#All],5,FALSE)</f>
        <v>7607 BJ </v>
      </c>
      <c r="E174" s="187" t="str">
        <f>VLOOKUP(Ruimtestaat[[#This Row],[Code]],Locaties[#All],6,FALSE)</f>
        <v>Losser</v>
      </c>
      <c r="F174" s="248"/>
      <c r="G174" s="246" t="s">
        <v>679</v>
      </c>
      <c r="H174" s="246" t="s">
        <v>562</v>
      </c>
      <c r="I174" s="248" t="s">
        <v>1153</v>
      </c>
      <c r="J174" s="187">
        <v>7</v>
      </c>
      <c r="K174" s="187" t="str">
        <f>VLOOKUP(Ruimtestaat[[#This Row],[Ruimte code]],Ruimtegroepen[#All],2,FALSE)</f>
        <v>Entree / buitenentree</v>
      </c>
      <c r="L174" s="247" t="s">
        <v>1204</v>
      </c>
      <c r="M174" s="249" t="s">
        <v>1205</v>
      </c>
      <c r="N174" s="200">
        <v>151.19999999999999</v>
      </c>
      <c r="O174" s="190"/>
      <c r="P174" s="231" t="str">
        <f>VLOOKUP(Ruimtestaat[[#This Row],[Ruimte code]],Ruimtegroepen[#All],4,FALSE)</f>
        <v>V  (Verkeersruimte)</v>
      </c>
      <c r="Q174" s="201"/>
      <c r="R174" s="202">
        <v>42</v>
      </c>
      <c r="S174" s="202" t="s">
        <v>2</v>
      </c>
      <c r="T174" s="202">
        <f>IF(R174&gt;0,IF(RIGHT(Ruimtestaat[[#This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74" s="202">
        <f>IF(T174&gt;0,VLOOKUP($J174,Ruimtegroepen[],3,FALSE)*VLOOKUP($L174,Vloersoorten[],3,FALSE)*VLOOKUP($S174,Frequenties[],3,FALSE)*VLOOKUP($A174,Locaties[],3,FALSE),0)</f>
        <v>0</v>
      </c>
      <c r="V174" s="202">
        <f>Ruimtestaat[[#This Row],[Uitvoeringen werkdagen]]*Ruimtestaat[[#This Row],[Oppervlak (netto)]]</f>
        <v>31751.999999999996</v>
      </c>
      <c r="W174" s="242">
        <f>IF(U174&gt;0,Ruimtestaat[[#This Row],[Prest. (m2 /jaar) werkdagen]]/Ruimtestaat[[#This Row],[Norm (m2/uur) werkdagen]],0)</f>
        <v>0</v>
      </c>
      <c r="X174" s="243">
        <f>Ruimtestaat[[#This Row],[uren / jaar werkdagen]]*Tariefsopbouw!$D$38</f>
        <v>0</v>
      </c>
      <c r="Y174" s="33"/>
      <c r="Z174" s="33">
        <f>IF(Ruimtestaat[[#This Row],[Frequentie weekend]]&gt;0,VALUE(LEFT(Y174,1))*R174,0)</f>
        <v>0</v>
      </c>
      <c r="AA174" s="33">
        <f>IF($Z174&gt;0,VLOOKUP($J174,Ruimtegroepen[],3,FALSE)*VLOOKUP($L174,Vloersoorten[],3,FALSE)*VLOOKUP($Y174,Frequenties[],3,FALSE)*VLOOKUP(#REF!,Locaties[],3,FALSE),0)</f>
        <v>0</v>
      </c>
      <c r="AB174" s="33"/>
      <c r="AC174" s="33"/>
      <c r="AD174" s="33">
        <f>Ruimtestaat[[#This Row],[uren / jaar weekend]]*Tariefsopbouw!$D$40</f>
        <v>0</v>
      </c>
      <c r="AE174" s="86">
        <f>Ruimtestaat[[#This Row],[Prest. (m2 /jaar) weekend]]+Ruimtestaat[[#This Row],[Prest. (m2 /jaar) werkdagen]]</f>
        <v>31751.999999999996</v>
      </c>
      <c r="AF174" s="86">
        <f>Ruimtestaat[[#This Row],[uren / jaar weekend]]+Ruimtestaat[[#This Row],[uren / jaar werkdagen]]</f>
        <v>0</v>
      </c>
      <c r="AG174" s="87">
        <f>Ruimtestaat[[#This Row],[kosten / jaar weekend]]+Ruimtestaat[[#This Row],[kosten / jaar werkdagen]]</f>
        <v>0</v>
      </c>
    </row>
    <row r="175" spans="1:33" ht="15" customHeight="1">
      <c r="A175" s="246">
        <v>2</v>
      </c>
      <c r="B175" s="21" t="str">
        <f>VLOOKUP(Ruimtestaat[[#This Row],[Code]],Locaties[#All],2,FALSE)</f>
        <v>Losser</v>
      </c>
      <c r="C175" s="247" t="str">
        <f>VLOOKUP(Ruimtestaat[[#This Row],[Code]],Locaties[#All],4,FALSE)</f>
        <v>Oranjestraat 2</v>
      </c>
      <c r="D175" s="247" t="str">
        <f>VLOOKUP(Ruimtestaat[[#This Row],[Code]],Locaties[#All],5,FALSE)</f>
        <v>7607 BJ </v>
      </c>
      <c r="E175" s="187" t="str">
        <f>VLOOKUP(Ruimtestaat[[#This Row],[Code]],Locaties[#All],6,FALSE)</f>
        <v>Losser</v>
      </c>
      <c r="F175" s="248"/>
      <c r="G175" s="246" t="s">
        <v>679</v>
      </c>
      <c r="H175" s="246" t="s">
        <v>563</v>
      </c>
      <c r="I175" s="248" t="s">
        <v>523</v>
      </c>
      <c r="J175" s="187">
        <v>1</v>
      </c>
      <c r="K175" s="187" t="str">
        <f>VLOOKUP(Ruimtestaat[[#This Row],[Ruimte code]],Ruimtegroepen[#All],2,FALSE)</f>
        <v>Magazijnen/bergingen</v>
      </c>
      <c r="L175" s="187" t="s">
        <v>109</v>
      </c>
      <c r="M175" s="249" t="s">
        <v>1203</v>
      </c>
      <c r="N175" s="200">
        <v>16.8</v>
      </c>
      <c r="O175" s="190"/>
      <c r="P175" s="231" t="str">
        <f>VLOOKUP(Ruimtestaat[[#This Row],[Ruimte code]],Ruimtegroepen[#All],4,FALSE)</f>
        <v>V  (Verkeersruimte)</v>
      </c>
      <c r="Q175" s="201"/>
      <c r="R175" s="202">
        <v>42</v>
      </c>
      <c r="S175" s="202" t="s">
        <v>15</v>
      </c>
      <c r="T175" s="202">
        <f>IF(R175&gt;0,IF(RIGHT(Ruimtestaat[[#This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175" s="202">
        <f>IF(T175&gt;0,VLOOKUP($J175,Ruimtegroepen[],3,FALSE)*VLOOKUP($L175,Vloersoorten[],3,FALSE)*VLOOKUP($S175,Frequenties[],3,FALSE)*VLOOKUP($A175,Locaties[],3,FALSE),0)</f>
        <v>0</v>
      </c>
      <c r="V175" s="202">
        <f>Ruimtestaat[[#This Row],[Uitvoeringen werkdagen]]*Ruimtestaat[[#This Row],[Oppervlak (netto)]]</f>
        <v>705.6</v>
      </c>
      <c r="W175" s="242">
        <f>IF(U175&gt;0,Ruimtestaat[[#This Row],[Prest. (m2 /jaar) werkdagen]]/Ruimtestaat[[#This Row],[Norm (m2/uur) werkdagen]],0)</f>
        <v>0</v>
      </c>
      <c r="X175" s="243">
        <f>Ruimtestaat[[#This Row],[uren / jaar werkdagen]]*Tariefsopbouw!$D$38</f>
        <v>0</v>
      </c>
      <c r="Y175" s="33"/>
      <c r="Z175" s="33">
        <f>IF(Ruimtestaat[[#This Row],[Frequentie weekend]]&gt;0,VALUE(LEFT(Y175,1))*R175,0)</f>
        <v>0</v>
      </c>
      <c r="AA175" s="33">
        <f>IF($Z175&gt;0,VLOOKUP($J175,Ruimtegroepen[],3,FALSE)*VLOOKUP($L175,Vloersoorten[],3,FALSE)*VLOOKUP($Y175,Frequenties[],3,FALSE)*VLOOKUP(#REF!,Locaties[],3,FALSE),0)</f>
        <v>0</v>
      </c>
      <c r="AB175" s="33"/>
      <c r="AC175" s="33"/>
      <c r="AD175" s="33">
        <f>Ruimtestaat[[#This Row],[uren / jaar weekend]]*Tariefsopbouw!$D$40</f>
        <v>0</v>
      </c>
      <c r="AE175" s="86">
        <f>Ruimtestaat[[#This Row],[Prest. (m2 /jaar) weekend]]+Ruimtestaat[[#This Row],[Prest. (m2 /jaar) werkdagen]]</f>
        <v>705.6</v>
      </c>
      <c r="AF175" s="86">
        <f>Ruimtestaat[[#This Row],[uren / jaar weekend]]+Ruimtestaat[[#This Row],[uren / jaar werkdagen]]</f>
        <v>0</v>
      </c>
      <c r="AG175" s="87">
        <f>Ruimtestaat[[#This Row],[kosten / jaar weekend]]+Ruimtestaat[[#This Row],[kosten / jaar werkdagen]]</f>
        <v>0</v>
      </c>
    </row>
    <row r="176" spans="1:33" ht="15" customHeight="1">
      <c r="A176" s="246">
        <v>2</v>
      </c>
      <c r="B176" s="21" t="str">
        <f>VLOOKUP(Ruimtestaat[[#This Row],[Code]],Locaties[#All],2,FALSE)</f>
        <v>Losser</v>
      </c>
      <c r="C176" s="247" t="str">
        <f>VLOOKUP(Ruimtestaat[[#This Row],[Code]],Locaties[#All],4,FALSE)</f>
        <v>Oranjestraat 2</v>
      </c>
      <c r="D176" s="247" t="str">
        <f>VLOOKUP(Ruimtestaat[[#This Row],[Code]],Locaties[#All],5,FALSE)</f>
        <v>7607 BJ </v>
      </c>
      <c r="E176" s="187" t="str">
        <f>VLOOKUP(Ruimtestaat[[#This Row],[Code]],Locaties[#All],6,FALSE)</f>
        <v>Losser</v>
      </c>
      <c r="F176" s="248"/>
      <c r="G176" s="246" t="s">
        <v>679</v>
      </c>
      <c r="H176" s="246" t="s">
        <v>564</v>
      </c>
      <c r="I176" s="248" t="s">
        <v>523</v>
      </c>
      <c r="J176" s="187">
        <v>1</v>
      </c>
      <c r="K176" s="187" t="str">
        <f>VLOOKUP(Ruimtestaat[[#This Row],[Ruimte code]],Ruimtegroepen[#All],2,FALSE)</f>
        <v>Magazijnen/bergingen</v>
      </c>
      <c r="L176" s="187" t="s">
        <v>109</v>
      </c>
      <c r="M176" s="249" t="s">
        <v>1203</v>
      </c>
      <c r="N176" s="200">
        <v>12.3</v>
      </c>
      <c r="O176" s="190"/>
      <c r="P176" s="231" t="str">
        <f>VLOOKUP(Ruimtestaat[[#This Row],[Ruimte code]],Ruimtegroepen[#All],4,FALSE)</f>
        <v>V  (Verkeersruimte)</v>
      </c>
      <c r="Q176" s="201"/>
      <c r="R176" s="202">
        <v>42</v>
      </c>
      <c r="S176" s="202" t="s">
        <v>15</v>
      </c>
      <c r="T176" s="202">
        <f>IF(R176&gt;0,IF(RIGHT(Ruimtestaat[[#This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176" s="202">
        <f>IF(T176&gt;0,VLOOKUP($J176,Ruimtegroepen[],3,FALSE)*VLOOKUP($L176,Vloersoorten[],3,FALSE)*VLOOKUP($S176,Frequenties[],3,FALSE)*VLOOKUP($A176,Locaties[],3,FALSE),0)</f>
        <v>0</v>
      </c>
      <c r="V176" s="202">
        <f>Ruimtestaat[[#This Row],[Uitvoeringen werkdagen]]*Ruimtestaat[[#This Row],[Oppervlak (netto)]]</f>
        <v>516.6</v>
      </c>
      <c r="W176" s="242">
        <f>IF(U176&gt;0,Ruimtestaat[[#This Row],[Prest. (m2 /jaar) werkdagen]]/Ruimtestaat[[#This Row],[Norm (m2/uur) werkdagen]],0)</f>
        <v>0</v>
      </c>
      <c r="X176" s="243">
        <f>Ruimtestaat[[#This Row],[uren / jaar werkdagen]]*Tariefsopbouw!$D$38</f>
        <v>0</v>
      </c>
      <c r="Y176" s="33"/>
      <c r="Z176" s="33">
        <f>IF(Ruimtestaat[[#This Row],[Frequentie weekend]]&gt;0,VALUE(LEFT(Y176,1))*R176,0)</f>
        <v>0</v>
      </c>
      <c r="AA176" s="33">
        <f>IF($Z176&gt;0,VLOOKUP($J176,Ruimtegroepen[],3,FALSE)*VLOOKUP($L176,Vloersoorten[],3,FALSE)*VLOOKUP($Y176,Frequenties[],3,FALSE)*VLOOKUP(#REF!,Locaties[],3,FALSE),0)</f>
        <v>0</v>
      </c>
      <c r="AB176" s="33"/>
      <c r="AC176" s="33"/>
      <c r="AD176" s="33">
        <f>Ruimtestaat[[#This Row],[uren / jaar weekend]]*Tariefsopbouw!$D$40</f>
        <v>0</v>
      </c>
      <c r="AE176" s="86">
        <f>Ruimtestaat[[#This Row],[Prest. (m2 /jaar) weekend]]+Ruimtestaat[[#This Row],[Prest. (m2 /jaar) werkdagen]]</f>
        <v>516.6</v>
      </c>
      <c r="AF176" s="86">
        <f>Ruimtestaat[[#This Row],[uren / jaar weekend]]+Ruimtestaat[[#This Row],[uren / jaar werkdagen]]</f>
        <v>0</v>
      </c>
      <c r="AG176" s="87">
        <f>Ruimtestaat[[#This Row],[kosten / jaar weekend]]+Ruimtestaat[[#This Row],[kosten / jaar werkdagen]]</f>
        <v>0</v>
      </c>
    </row>
    <row r="177" spans="1:33" ht="15" customHeight="1">
      <c r="A177" s="246">
        <v>2</v>
      </c>
      <c r="B177" s="21" t="str">
        <f>VLOOKUP(Ruimtestaat[[#This Row],[Code]],Locaties[#All],2,FALSE)</f>
        <v>Losser</v>
      </c>
      <c r="C177" s="247" t="str">
        <f>VLOOKUP(Ruimtestaat[[#This Row],[Code]],Locaties[#All],4,FALSE)</f>
        <v>Oranjestraat 2</v>
      </c>
      <c r="D177" s="247" t="str">
        <f>VLOOKUP(Ruimtestaat[[#This Row],[Code]],Locaties[#All],5,FALSE)</f>
        <v>7607 BJ </v>
      </c>
      <c r="E177" s="187" t="str">
        <f>VLOOKUP(Ruimtestaat[[#This Row],[Code]],Locaties[#All],6,FALSE)</f>
        <v>Losser</v>
      </c>
      <c r="F177" s="248"/>
      <c r="G177" s="246" t="s">
        <v>679</v>
      </c>
      <c r="H177" s="246" t="s">
        <v>565</v>
      </c>
      <c r="I177" s="248" t="s">
        <v>1172</v>
      </c>
      <c r="J177" s="187">
        <v>2</v>
      </c>
      <c r="K177" s="187" t="str">
        <f>VLOOKUP(Ruimtestaat[[#This Row],[Ruimte code]],Ruimtegroepen[#All],2,FALSE)</f>
        <v>Kantoren/kantoortuin</v>
      </c>
      <c r="L177" s="187" t="s">
        <v>109</v>
      </c>
      <c r="M177" s="249" t="s">
        <v>1203</v>
      </c>
      <c r="N177" s="200">
        <v>12.3</v>
      </c>
      <c r="O177" s="190"/>
      <c r="P177" s="231" t="str">
        <f>VLOOKUP(Ruimtestaat[[#This Row],[Ruimte code]],Ruimtegroepen[#All],4,FALSE)</f>
        <v>B  (Bureauruimte)</v>
      </c>
      <c r="Q177" s="201"/>
      <c r="R177" s="202">
        <v>42</v>
      </c>
      <c r="S177" s="202" t="s">
        <v>2</v>
      </c>
      <c r="T177" s="202">
        <f>IF(R177&gt;0,IF(RIGHT(Ruimtestaat[[#This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77" s="202">
        <f>IF(T177&gt;0,VLOOKUP($J177,Ruimtegroepen[],3,FALSE)*VLOOKUP($L177,Vloersoorten[],3,FALSE)*VLOOKUP($S177,Frequenties[],3,FALSE)*VLOOKUP($A177,Locaties[],3,FALSE),0)</f>
        <v>0</v>
      </c>
      <c r="V177" s="202">
        <f>Ruimtestaat[[#This Row],[Uitvoeringen werkdagen]]*Ruimtestaat[[#This Row],[Oppervlak (netto)]]</f>
        <v>2583</v>
      </c>
      <c r="W177" s="242">
        <f>IF(U177&gt;0,Ruimtestaat[[#This Row],[Prest. (m2 /jaar) werkdagen]]/Ruimtestaat[[#This Row],[Norm (m2/uur) werkdagen]],0)</f>
        <v>0</v>
      </c>
      <c r="X177" s="243">
        <f>Ruimtestaat[[#This Row],[uren / jaar werkdagen]]*Tariefsopbouw!$D$38</f>
        <v>0</v>
      </c>
      <c r="Y177" s="33"/>
      <c r="Z177" s="33">
        <f>IF(Ruimtestaat[[#This Row],[Frequentie weekend]]&gt;0,VALUE(LEFT(Y177,1))*R177,0)</f>
        <v>0</v>
      </c>
      <c r="AA177" s="33">
        <f>IF($Z177&gt;0,VLOOKUP($J177,Ruimtegroepen[],3,FALSE)*VLOOKUP($L177,Vloersoorten[],3,FALSE)*VLOOKUP($Y177,Frequenties[],3,FALSE)*VLOOKUP(#REF!,Locaties[],3,FALSE),0)</f>
        <v>0</v>
      </c>
      <c r="AB177" s="33"/>
      <c r="AC177" s="33"/>
      <c r="AD177" s="33">
        <f>Ruimtestaat[[#This Row],[uren / jaar weekend]]*Tariefsopbouw!$D$40</f>
        <v>0</v>
      </c>
      <c r="AE177" s="86">
        <f>Ruimtestaat[[#This Row],[Prest. (m2 /jaar) weekend]]+Ruimtestaat[[#This Row],[Prest. (m2 /jaar) werkdagen]]</f>
        <v>2583</v>
      </c>
      <c r="AF177" s="86">
        <f>Ruimtestaat[[#This Row],[uren / jaar weekend]]+Ruimtestaat[[#This Row],[uren / jaar werkdagen]]</f>
        <v>0</v>
      </c>
      <c r="AG177" s="87">
        <f>Ruimtestaat[[#This Row],[kosten / jaar weekend]]+Ruimtestaat[[#This Row],[kosten / jaar werkdagen]]</f>
        <v>0</v>
      </c>
    </row>
    <row r="178" spans="1:33" ht="15" customHeight="1">
      <c r="A178" s="246">
        <v>2</v>
      </c>
      <c r="B178" s="21" t="str">
        <f>VLOOKUP(Ruimtestaat[[#This Row],[Code]],Locaties[#All],2,FALSE)</f>
        <v>Losser</v>
      </c>
      <c r="C178" s="247" t="str">
        <f>VLOOKUP(Ruimtestaat[[#This Row],[Code]],Locaties[#All],4,FALSE)</f>
        <v>Oranjestraat 2</v>
      </c>
      <c r="D178" s="247" t="str">
        <f>VLOOKUP(Ruimtestaat[[#This Row],[Code]],Locaties[#All],5,FALSE)</f>
        <v>7607 BJ </v>
      </c>
      <c r="E178" s="187" t="str">
        <f>VLOOKUP(Ruimtestaat[[#This Row],[Code]],Locaties[#All],6,FALSE)</f>
        <v>Losser</v>
      </c>
      <c r="F178" s="248"/>
      <c r="G178" s="246" t="s">
        <v>679</v>
      </c>
      <c r="H178" s="246" t="s">
        <v>566</v>
      </c>
      <c r="I178" s="248" t="s">
        <v>549</v>
      </c>
      <c r="J178" s="187">
        <v>6</v>
      </c>
      <c r="K178" s="187" t="str">
        <f>VLOOKUP(Ruimtestaat[[#This Row],[Ruimte code]],Ruimtegroepen[#All],2,FALSE)</f>
        <v>Gangen/hallen</v>
      </c>
      <c r="L178" s="187" t="s">
        <v>109</v>
      </c>
      <c r="M178" s="249" t="s">
        <v>1203</v>
      </c>
      <c r="N178" s="200">
        <v>133.9</v>
      </c>
      <c r="O178" s="190"/>
      <c r="P178" s="231" t="str">
        <f>VLOOKUP(Ruimtestaat[[#This Row],[Ruimte code]],Ruimtegroepen[#All],4,FALSE)</f>
        <v>V  (Verkeersruimte)</v>
      </c>
      <c r="Q178" s="201"/>
      <c r="R178" s="202">
        <v>42</v>
      </c>
      <c r="S178" s="202" t="s">
        <v>2</v>
      </c>
      <c r="T178" s="202">
        <f>IF(R178&gt;0,IF(RIGHT(Ruimtestaat[[#This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78" s="202">
        <f>IF(T178&gt;0,VLOOKUP($J178,Ruimtegroepen[],3,FALSE)*VLOOKUP($L178,Vloersoorten[],3,FALSE)*VLOOKUP($S178,Frequenties[],3,FALSE)*VLOOKUP($A178,Locaties[],3,FALSE),0)</f>
        <v>0</v>
      </c>
      <c r="V178" s="202">
        <f>Ruimtestaat[[#This Row],[Uitvoeringen werkdagen]]*Ruimtestaat[[#This Row],[Oppervlak (netto)]]</f>
        <v>28119</v>
      </c>
      <c r="W178" s="242">
        <f>IF(U178&gt;0,Ruimtestaat[[#This Row],[Prest. (m2 /jaar) werkdagen]]/Ruimtestaat[[#This Row],[Norm (m2/uur) werkdagen]],0)</f>
        <v>0</v>
      </c>
      <c r="X178" s="243">
        <f>Ruimtestaat[[#This Row],[uren / jaar werkdagen]]*Tariefsopbouw!$D$38</f>
        <v>0</v>
      </c>
      <c r="Y178" s="33"/>
      <c r="Z178" s="33">
        <f>IF(Ruimtestaat[[#This Row],[Frequentie weekend]]&gt;0,VALUE(LEFT(Y178,1))*R178,0)</f>
        <v>0</v>
      </c>
      <c r="AA178" s="33">
        <f>IF($Z178&gt;0,VLOOKUP($J178,Ruimtegroepen[],3,FALSE)*VLOOKUP($L178,Vloersoorten[],3,FALSE)*VLOOKUP($Y178,Frequenties[],3,FALSE)*VLOOKUP(#REF!,Locaties[],3,FALSE),0)</f>
        <v>0</v>
      </c>
      <c r="AB178" s="33"/>
      <c r="AC178" s="33"/>
      <c r="AD178" s="33">
        <f>Ruimtestaat[[#This Row],[uren / jaar weekend]]*Tariefsopbouw!$D$40</f>
        <v>0</v>
      </c>
      <c r="AE178" s="86">
        <f>Ruimtestaat[[#This Row],[Prest. (m2 /jaar) weekend]]+Ruimtestaat[[#This Row],[Prest. (m2 /jaar) werkdagen]]</f>
        <v>28119</v>
      </c>
      <c r="AF178" s="86">
        <f>Ruimtestaat[[#This Row],[uren / jaar weekend]]+Ruimtestaat[[#This Row],[uren / jaar werkdagen]]</f>
        <v>0</v>
      </c>
      <c r="AG178" s="87">
        <f>Ruimtestaat[[#This Row],[kosten / jaar weekend]]+Ruimtestaat[[#This Row],[kosten / jaar werkdagen]]</f>
        <v>0</v>
      </c>
    </row>
    <row r="179" spans="1:33" ht="15" customHeight="1">
      <c r="A179" s="246">
        <v>2</v>
      </c>
      <c r="B179" s="21" t="str">
        <f>VLOOKUP(Ruimtestaat[[#This Row],[Code]],Locaties[#All],2,FALSE)</f>
        <v>Losser</v>
      </c>
      <c r="C179" s="247" t="str">
        <f>VLOOKUP(Ruimtestaat[[#This Row],[Code]],Locaties[#All],4,FALSE)</f>
        <v>Oranjestraat 2</v>
      </c>
      <c r="D179" s="247" t="str">
        <f>VLOOKUP(Ruimtestaat[[#This Row],[Code]],Locaties[#All],5,FALSE)</f>
        <v>7607 BJ </v>
      </c>
      <c r="E179" s="187" t="str">
        <f>VLOOKUP(Ruimtestaat[[#This Row],[Code]],Locaties[#All],6,FALSE)</f>
        <v>Losser</v>
      </c>
      <c r="F179" s="248"/>
      <c r="G179" s="246" t="s">
        <v>679</v>
      </c>
      <c r="H179" s="246" t="s">
        <v>567</v>
      </c>
      <c r="I179" s="248" t="s">
        <v>1169</v>
      </c>
      <c r="J179" s="187">
        <v>4</v>
      </c>
      <c r="K179" s="187" t="str">
        <f>VLOOKUP(Ruimtestaat[[#This Row],[Ruimte code]],Ruimtegroepen[#All],2,FALSE)</f>
        <v>Vergader/spreekkamers</v>
      </c>
      <c r="L179" s="187" t="s">
        <v>109</v>
      </c>
      <c r="M179" s="249" t="s">
        <v>1203</v>
      </c>
      <c r="N179" s="200">
        <v>18.3</v>
      </c>
      <c r="O179" s="190"/>
      <c r="P179" s="231" t="str">
        <f>VLOOKUP(Ruimtestaat[[#This Row],[Ruimte code]],Ruimtegroepen[#All],4,FALSE)</f>
        <v>B  (Bureauruimte)</v>
      </c>
      <c r="Q179" s="201"/>
      <c r="R179" s="202">
        <v>42</v>
      </c>
      <c r="S179" s="202" t="s">
        <v>2</v>
      </c>
      <c r="T179" s="202">
        <f>IF(R179&gt;0,IF(RIGHT(Ruimtestaat[[#This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79" s="202">
        <f>IF(T179&gt;0,VLOOKUP($J179,Ruimtegroepen[],3,FALSE)*VLOOKUP($L179,Vloersoorten[],3,FALSE)*VLOOKUP($S179,Frequenties[],3,FALSE)*VLOOKUP($A179,Locaties[],3,FALSE),0)</f>
        <v>0</v>
      </c>
      <c r="V179" s="202">
        <f>Ruimtestaat[[#This Row],[Uitvoeringen werkdagen]]*Ruimtestaat[[#This Row],[Oppervlak (netto)]]</f>
        <v>3843</v>
      </c>
      <c r="W179" s="242">
        <f>IF(U179&gt;0,Ruimtestaat[[#This Row],[Prest. (m2 /jaar) werkdagen]]/Ruimtestaat[[#This Row],[Norm (m2/uur) werkdagen]],0)</f>
        <v>0</v>
      </c>
      <c r="X179" s="243">
        <f>Ruimtestaat[[#This Row],[uren / jaar werkdagen]]*Tariefsopbouw!$D$38</f>
        <v>0</v>
      </c>
      <c r="Y179" s="33"/>
      <c r="Z179" s="33">
        <f>IF(Ruimtestaat[[#This Row],[Frequentie weekend]]&gt;0,VALUE(LEFT(Y179,1))*R179,0)</f>
        <v>0</v>
      </c>
      <c r="AA179" s="33">
        <f>IF($Z179&gt;0,VLOOKUP($J179,Ruimtegroepen[],3,FALSE)*VLOOKUP($L179,Vloersoorten[],3,FALSE)*VLOOKUP($Y179,Frequenties[],3,FALSE)*VLOOKUP(#REF!,Locaties[],3,FALSE),0)</f>
        <v>0</v>
      </c>
      <c r="AB179" s="33"/>
      <c r="AC179" s="33"/>
      <c r="AD179" s="33">
        <f>Ruimtestaat[[#This Row],[uren / jaar weekend]]*Tariefsopbouw!$D$40</f>
        <v>0</v>
      </c>
      <c r="AE179" s="86">
        <f>Ruimtestaat[[#This Row],[Prest. (m2 /jaar) weekend]]+Ruimtestaat[[#This Row],[Prest. (m2 /jaar) werkdagen]]</f>
        <v>3843</v>
      </c>
      <c r="AF179" s="86">
        <f>Ruimtestaat[[#This Row],[uren / jaar weekend]]+Ruimtestaat[[#This Row],[uren / jaar werkdagen]]</f>
        <v>0</v>
      </c>
      <c r="AG179" s="87">
        <f>Ruimtestaat[[#This Row],[kosten / jaar weekend]]+Ruimtestaat[[#This Row],[kosten / jaar werkdagen]]</f>
        <v>0</v>
      </c>
    </row>
    <row r="180" spans="1:33" ht="15" customHeight="1">
      <c r="A180" s="246">
        <v>2</v>
      </c>
      <c r="B180" s="21" t="str">
        <f>VLOOKUP(Ruimtestaat[[#This Row],[Code]],Locaties[#All],2,FALSE)</f>
        <v>Losser</v>
      </c>
      <c r="C180" s="247" t="str">
        <f>VLOOKUP(Ruimtestaat[[#This Row],[Code]],Locaties[#All],4,FALSE)</f>
        <v>Oranjestraat 2</v>
      </c>
      <c r="D180" s="247" t="str">
        <f>VLOOKUP(Ruimtestaat[[#This Row],[Code]],Locaties[#All],5,FALSE)</f>
        <v>7607 BJ </v>
      </c>
      <c r="E180" s="187" t="str">
        <f>VLOOKUP(Ruimtestaat[[#This Row],[Code]],Locaties[#All],6,FALSE)</f>
        <v>Losser</v>
      </c>
      <c r="F180" s="248"/>
      <c r="G180" s="246" t="s">
        <v>679</v>
      </c>
      <c r="H180" s="246" t="s">
        <v>568</v>
      </c>
      <c r="I180" s="248" t="s">
        <v>523</v>
      </c>
      <c r="J180" s="187">
        <v>1</v>
      </c>
      <c r="K180" s="187" t="str">
        <f>VLOOKUP(Ruimtestaat[[#This Row],[Ruimte code]],Ruimtegroepen[#All],2,FALSE)</f>
        <v>Magazijnen/bergingen</v>
      </c>
      <c r="L180" s="187" t="s">
        <v>109</v>
      </c>
      <c r="M180" s="249" t="s">
        <v>1203</v>
      </c>
      <c r="N180" s="200">
        <v>21.1</v>
      </c>
      <c r="O180" s="190"/>
      <c r="P180" s="231" t="str">
        <f>VLOOKUP(Ruimtestaat[[#This Row],[Ruimte code]],Ruimtegroepen[#All],4,FALSE)</f>
        <v>V  (Verkeersruimte)</v>
      </c>
      <c r="Q180" s="201"/>
      <c r="R180" s="202">
        <v>42</v>
      </c>
      <c r="S180" s="202" t="s">
        <v>15</v>
      </c>
      <c r="T180" s="202">
        <f>IF(R180&gt;0,IF(RIGHT(Ruimtestaat[[#This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180" s="202">
        <f>IF(T180&gt;0,VLOOKUP($J180,Ruimtegroepen[],3,FALSE)*VLOOKUP($L180,Vloersoorten[],3,FALSE)*VLOOKUP($S180,Frequenties[],3,FALSE)*VLOOKUP($A180,Locaties[],3,FALSE),0)</f>
        <v>0</v>
      </c>
      <c r="V180" s="202">
        <f>Ruimtestaat[[#This Row],[Uitvoeringen werkdagen]]*Ruimtestaat[[#This Row],[Oppervlak (netto)]]</f>
        <v>886.2</v>
      </c>
      <c r="W180" s="242">
        <f>IF(U180&gt;0,Ruimtestaat[[#This Row],[Prest. (m2 /jaar) werkdagen]]/Ruimtestaat[[#This Row],[Norm (m2/uur) werkdagen]],0)</f>
        <v>0</v>
      </c>
      <c r="X180" s="243">
        <f>Ruimtestaat[[#This Row],[uren / jaar werkdagen]]*Tariefsopbouw!$D$38</f>
        <v>0</v>
      </c>
      <c r="Y180" s="33"/>
      <c r="Z180" s="33">
        <f>IF(Ruimtestaat[[#This Row],[Frequentie weekend]]&gt;0,VALUE(LEFT(Y180,1))*R180,0)</f>
        <v>0</v>
      </c>
      <c r="AA180" s="33">
        <f>IF($Z180&gt;0,VLOOKUP($J180,Ruimtegroepen[],3,FALSE)*VLOOKUP($L180,Vloersoorten[],3,FALSE)*VLOOKUP($Y180,Frequenties[],3,FALSE)*VLOOKUP(#REF!,Locaties[],3,FALSE),0)</f>
        <v>0</v>
      </c>
      <c r="AB180" s="33"/>
      <c r="AC180" s="33"/>
      <c r="AD180" s="33">
        <f>Ruimtestaat[[#This Row],[uren / jaar weekend]]*Tariefsopbouw!$D$40</f>
        <v>0</v>
      </c>
      <c r="AE180" s="86">
        <f>Ruimtestaat[[#This Row],[Prest. (m2 /jaar) weekend]]+Ruimtestaat[[#This Row],[Prest. (m2 /jaar) werkdagen]]</f>
        <v>886.2</v>
      </c>
      <c r="AF180" s="86">
        <f>Ruimtestaat[[#This Row],[uren / jaar weekend]]+Ruimtestaat[[#This Row],[uren / jaar werkdagen]]</f>
        <v>0</v>
      </c>
      <c r="AG180" s="87">
        <f>Ruimtestaat[[#This Row],[kosten / jaar weekend]]+Ruimtestaat[[#This Row],[kosten / jaar werkdagen]]</f>
        <v>0</v>
      </c>
    </row>
    <row r="181" spans="1:33" ht="15" customHeight="1">
      <c r="A181" s="246">
        <v>2</v>
      </c>
      <c r="B181" s="21" t="str">
        <f>VLOOKUP(Ruimtestaat[[#This Row],[Code]],Locaties[#All],2,FALSE)</f>
        <v>Losser</v>
      </c>
      <c r="C181" s="247" t="str">
        <f>VLOOKUP(Ruimtestaat[[#This Row],[Code]],Locaties[#All],4,FALSE)</f>
        <v>Oranjestraat 2</v>
      </c>
      <c r="D181" s="247" t="str">
        <f>VLOOKUP(Ruimtestaat[[#This Row],[Code]],Locaties[#All],5,FALSE)</f>
        <v>7607 BJ </v>
      </c>
      <c r="E181" s="187" t="str">
        <f>VLOOKUP(Ruimtestaat[[#This Row],[Code]],Locaties[#All],6,FALSE)</f>
        <v>Losser</v>
      </c>
      <c r="F181" s="248"/>
      <c r="G181" s="246" t="s">
        <v>679</v>
      </c>
      <c r="H181" s="246" t="s">
        <v>569</v>
      </c>
      <c r="I181" s="248" t="s">
        <v>523</v>
      </c>
      <c r="J181" s="187">
        <v>1</v>
      </c>
      <c r="K181" s="187" t="str">
        <f>VLOOKUP(Ruimtestaat[[#This Row],[Ruimte code]],Ruimtegroepen[#All],2,FALSE)</f>
        <v>Magazijnen/bergingen</v>
      </c>
      <c r="L181" s="187" t="s">
        <v>109</v>
      </c>
      <c r="M181" s="249" t="s">
        <v>1203</v>
      </c>
      <c r="N181" s="200">
        <v>6.4</v>
      </c>
      <c r="O181" s="190"/>
      <c r="P181" s="231" t="str">
        <f>VLOOKUP(Ruimtestaat[[#This Row],[Ruimte code]],Ruimtegroepen[#All],4,FALSE)</f>
        <v>V  (Verkeersruimte)</v>
      </c>
      <c r="Q181" s="201"/>
      <c r="R181" s="202">
        <v>42</v>
      </c>
      <c r="S181" s="202" t="s">
        <v>15</v>
      </c>
      <c r="T181" s="202">
        <f>IF(R181&gt;0,IF(RIGHT(Ruimtestaat[[#This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181" s="202">
        <f>IF(T181&gt;0,VLOOKUP($J181,Ruimtegroepen[],3,FALSE)*VLOOKUP($L181,Vloersoorten[],3,FALSE)*VLOOKUP($S181,Frequenties[],3,FALSE)*VLOOKUP($A181,Locaties[],3,FALSE),0)</f>
        <v>0</v>
      </c>
      <c r="V181" s="202">
        <f>Ruimtestaat[[#This Row],[Uitvoeringen werkdagen]]*Ruimtestaat[[#This Row],[Oppervlak (netto)]]</f>
        <v>268.8</v>
      </c>
      <c r="W181" s="242">
        <f>IF(U181&gt;0,Ruimtestaat[[#This Row],[Prest. (m2 /jaar) werkdagen]]/Ruimtestaat[[#This Row],[Norm (m2/uur) werkdagen]],0)</f>
        <v>0</v>
      </c>
      <c r="X181" s="243">
        <f>Ruimtestaat[[#This Row],[uren / jaar werkdagen]]*Tariefsopbouw!$D$38</f>
        <v>0</v>
      </c>
      <c r="Y181" s="33"/>
      <c r="Z181" s="33">
        <f>IF(Ruimtestaat[[#This Row],[Frequentie weekend]]&gt;0,VALUE(LEFT(Y181,1))*R181,0)</f>
        <v>0</v>
      </c>
      <c r="AA181" s="33">
        <f>IF($Z181&gt;0,VLOOKUP($J181,Ruimtegroepen[],3,FALSE)*VLOOKUP($L181,Vloersoorten[],3,FALSE)*VLOOKUP($Y181,Frequenties[],3,FALSE)*VLOOKUP(#REF!,Locaties[],3,FALSE),0)</f>
        <v>0</v>
      </c>
      <c r="AB181" s="33"/>
      <c r="AC181" s="33"/>
      <c r="AD181" s="33">
        <f>Ruimtestaat[[#This Row],[uren / jaar weekend]]*Tariefsopbouw!$D$40</f>
        <v>0</v>
      </c>
      <c r="AE181" s="86">
        <f>Ruimtestaat[[#This Row],[Prest. (m2 /jaar) weekend]]+Ruimtestaat[[#This Row],[Prest. (m2 /jaar) werkdagen]]</f>
        <v>268.8</v>
      </c>
      <c r="AF181" s="86">
        <f>Ruimtestaat[[#This Row],[uren / jaar weekend]]+Ruimtestaat[[#This Row],[uren / jaar werkdagen]]</f>
        <v>0</v>
      </c>
      <c r="AG181" s="87">
        <f>Ruimtestaat[[#This Row],[kosten / jaar weekend]]+Ruimtestaat[[#This Row],[kosten / jaar werkdagen]]</f>
        <v>0</v>
      </c>
    </row>
    <row r="182" spans="1:33" ht="15" customHeight="1">
      <c r="A182" s="246">
        <v>2</v>
      </c>
      <c r="B182" s="21" t="str">
        <f>VLOOKUP(Ruimtestaat[[#This Row],[Code]],Locaties[#All],2,FALSE)</f>
        <v>Losser</v>
      </c>
      <c r="C182" s="247" t="str">
        <f>VLOOKUP(Ruimtestaat[[#This Row],[Code]],Locaties[#All],4,FALSE)</f>
        <v>Oranjestraat 2</v>
      </c>
      <c r="D182" s="247" t="str">
        <f>VLOOKUP(Ruimtestaat[[#This Row],[Code]],Locaties[#All],5,FALSE)</f>
        <v>7607 BJ </v>
      </c>
      <c r="E182" s="187" t="str">
        <f>VLOOKUP(Ruimtestaat[[#This Row],[Code]],Locaties[#All],6,FALSE)</f>
        <v>Losser</v>
      </c>
      <c r="F182" s="248"/>
      <c r="G182" s="246" t="s">
        <v>679</v>
      </c>
      <c r="H182" s="246" t="s">
        <v>570</v>
      </c>
      <c r="I182" s="248" t="s">
        <v>1169</v>
      </c>
      <c r="J182" s="247">
        <v>4</v>
      </c>
      <c r="K182" s="247" t="str">
        <f>VLOOKUP(Ruimtestaat[[#This Row],[Ruimte code]],Ruimtegroepen[#All],2,FALSE)</f>
        <v>Vergader/spreekkamers</v>
      </c>
      <c r="L182" s="187" t="s">
        <v>109</v>
      </c>
      <c r="M182" s="249" t="s">
        <v>1203</v>
      </c>
      <c r="N182" s="200">
        <v>11.9</v>
      </c>
      <c r="O182" s="190"/>
      <c r="P182" s="231" t="str">
        <f>VLOOKUP(Ruimtestaat[[#This Row],[Ruimte code]],Ruimtegroepen[#All],4,FALSE)</f>
        <v>B  (Bureauruimte)</v>
      </c>
      <c r="Q182" s="201"/>
      <c r="R182" s="202">
        <v>42</v>
      </c>
      <c r="S182" s="202" t="s">
        <v>2</v>
      </c>
      <c r="T182" s="202">
        <f>IF(R182&gt;0,IF(RIGHT(Ruimtestaat[[#This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82" s="202">
        <f>IF(T182&gt;0,VLOOKUP($J182,Ruimtegroepen[],3,FALSE)*VLOOKUP($L182,Vloersoorten[],3,FALSE)*VLOOKUP($S182,Frequenties[],3,FALSE)*VLOOKUP($A182,Locaties[],3,FALSE),0)</f>
        <v>0</v>
      </c>
      <c r="V182" s="202">
        <f>Ruimtestaat[[#This Row],[Uitvoeringen werkdagen]]*Ruimtestaat[[#This Row],[Oppervlak (netto)]]</f>
        <v>2499</v>
      </c>
      <c r="W182" s="242">
        <f>IF(U182&gt;0,Ruimtestaat[[#This Row],[Prest. (m2 /jaar) werkdagen]]/Ruimtestaat[[#This Row],[Norm (m2/uur) werkdagen]],0)</f>
        <v>0</v>
      </c>
      <c r="X182" s="243">
        <f>Ruimtestaat[[#This Row],[uren / jaar werkdagen]]*Tariefsopbouw!$D$38</f>
        <v>0</v>
      </c>
      <c r="Y182" s="33"/>
      <c r="Z182" s="33">
        <f>IF(Ruimtestaat[[#This Row],[Frequentie weekend]]&gt;0,VALUE(LEFT(Y182,1))*R182,0)</f>
        <v>0</v>
      </c>
      <c r="AA182" s="33">
        <f>IF($Z182&gt;0,VLOOKUP($J182,Ruimtegroepen[],3,FALSE)*VLOOKUP($L182,Vloersoorten[],3,FALSE)*VLOOKUP($Y182,Frequenties[],3,FALSE)*VLOOKUP(#REF!,Locaties[],3,FALSE),0)</f>
        <v>0</v>
      </c>
      <c r="AB182" s="33"/>
      <c r="AC182" s="33"/>
      <c r="AD182" s="33">
        <f>Ruimtestaat[[#This Row],[uren / jaar weekend]]*Tariefsopbouw!$D$40</f>
        <v>0</v>
      </c>
      <c r="AE182" s="86">
        <f>Ruimtestaat[[#This Row],[Prest. (m2 /jaar) weekend]]+Ruimtestaat[[#This Row],[Prest. (m2 /jaar) werkdagen]]</f>
        <v>2499</v>
      </c>
      <c r="AF182" s="86">
        <f>Ruimtestaat[[#This Row],[uren / jaar weekend]]+Ruimtestaat[[#This Row],[uren / jaar werkdagen]]</f>
        <v>0</v>
      </c>
      <c r="AG182" s="87">
        <f>Ruimtestaat[[#This Row],[kosten / jaar weekend]]+Ruimtestaat[[#This Row],[kosten / jaar werkdagen]]</f>
        <v>0</v>
      </c>
    </row>
    <row r="183" spans="1:33" ht="15" customHeight="1">
      <c r="A183" s="246">
        <v>2</v>
      </c>
      <c r="B183" s="21" t="str">
        <f>VLOOKUP(Ruimtestaat[[#This Row],[Code]],Locaties[#All],2,FALSE)</f>
        <v>Losser</v>
      </c>
      <c r="C183" s="247" t="str">
        <f>VLOOKUP(Ruimtestaat[[#This Row],[Code]],Locaties[#All],4,FALSE)</f>
        <v>Oranjestraat 2</v>
      </c>
      <c r="D183" s="247" t="str">
        <f>VLOOKUP(Ruimtestaat[[#This Row],[Code]],Locaties[#All],5,FALSE)</f>
        <v>7607 BJ </v>
      </c>
      <c r="E183" s="187" t="str">
        <f>VLOOKUP(Ruimtestaat[[#This Row],[Code]],Locaties[#All],6,FALSE)</f>
        <v>Losser</v>
      </c>
      <c r="F183" s="248"/>
      <c r="G183" s="246" t="s">
        <v>679</v>
      </c>
      <c r="H183" s="246" t="s">
        <v>572</v>
      </c>
      <c r="I183" s="248" t="s">
        <v>1173</v>
      </c>
      <c r="J183" s="187">
        <v>12</v>
      </c>
      <c r="K183" s="187" t="str">
        <f>VLOOKUP(Ruimtestaat[[#This Row],[Ruimte code]],Ruimtegroepen[#All],2,FALSE)</f>
        <v>Kantine/aula</v>
      </c>
      <c r="L183" s="187" t="s">
        <v>109</v>
      </c>
      <c r="M183" s="249" t="s">
        <v>1203</v>
      </c>
      <c r="N183" s="200">
        <v>170.8</v>
      </c>
      <c r="O183" s="190"/>
      <c r="P183" s="231" t="str">
        <f>VLOOKUP(Ruimtestaat[[#This Row],[Ruimte code]],Ruimtegroepen[#All],4,FALSE)</f>
        <v>V  (Verkeersruimte)</v>
      </c>
      <c r="Q183" s="201"/>
      <c r="R183" s="202">
        <v>42</v>
      </c>
      <c r="S183" s="202" t="s">
        <v>2</v>
      </c>
      <c r="T183" s="202">
        <f>IF(R183&gt;0,IF(RIGHT(Ruimtestaat[[#This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83" s="202">
        <f>IF(T183&gt;0,VLOOKUP($J183,Ruimtegroepen[],3,FALSE)*VLOOKUP($L183,Vloersoorten[],3,FALSE)*VLOOKUP($S183,Frequenties[],3,FALSE)*VLOOKUP($A183,Locaties[],3,FALSE),0)</f>
        <v>0</v>
      </c>
      <c r="V183" s="202">
        <f>Ruimtestaat[[#This Row],[Uitvoeringen werkdagen]]*Ruimtestaat[[#This Row],[Oppervlak (netto)]]</f>
        <v>35868</v>
      </c>
      <c r="W183" s="242">
        <f>IF(U183&gt;0,Ruimtestaat[[#This Row],[Prest. (m2 /jaar) werkdagen]]/Ruimtestaat[[#This Row],[Norm (m2/uur) werkdagen]],0)</f>
        <v>0</v>
      </c>
      <c r="X183" s="243">
        <f>Ruimtestaat[[#This Row],[uren / jaar werkdagen]]*Tariefsopbouw!$D$38</f>
        <v>0</v>
      </c>
      <c r="Y183" s="33"/>
      <c r="Z183" s="33">
        <f>IF(Ruimtestaat[[#This Row],[Frequentie weekend]]&gt;0,VALUE(LEFT(Y183,1))*R183,0)</f>
        <v>0</v>
      </c>
      <c r="AA183" s="33">
        <f>IF($Z183&gt;0,VLOOKUP($J183,Ruimtegroepen[],3,FALSE)*VLOOKUP($L183,Vloersoorten[],3,FALSE)*VLOOKUP($Y183,Frequenties[],3,FALSE)*VLOOKUP(#REF!,Locaties[],3,FALSE),0)</f>
        <v>0</v>
      </c>
      <c r="AB183" s="33"/>
      <c r="AC183" s="33"/>
      <c r="AD183" s="33">
        <f>Ruimtestaat[[#This Row],[uren / jaar weekend]]*Tariefsopbouw!$D$40</f>
        <v>0</v>
      </c>
      <c r="AE183" s="86">
        <f>Ruimtestaat[[#This Row],[Prest. (m2 /jaar) weekend]]+Ruimtestaat[[#This Row],[Prest. (m2 /jaar) werkdagen]]</f>
        <v>35868</v>
      </c>
      <c r="AF183" s="86">
        <f>Ruimtestaat[[#This Row],[uren / jaar weekend]]+Ruimtestaat[[#This Row],[uren / jaar werkdagen]]</f>
        <v>0</v>
      </c>
      <c r="AG183" s="87">
        <f>Ruimtestaat[[#This Row],[kosten / jaar weekend]]+Ruimtestaat[[#This Row],[kosten / jaar werkdagen]]</f>
        <v>0</v>
      </c>
    </row>
    <row r="184" spans="1:33" ht="15" customHeight="1">
      <c r="A184" s="246">
        <v>2</v>
      </c>
      <c r="B184" s="21" t="str">
        <f>VLOOKUP(Ruimtestaat[[#This Row],[Code]],Locaties[#All],2,FALSE)</f>
        <v>Losser</v>
      </c>
      <c r="C184" s="247" t="str">
        <f>VLOOKUP(Ruimtestaat[[#This Row],[Code]],Locaties[#All],4,FALSE)</f>
        <v>Oranjestraat 2</v>
      </c>
      <c r="D184" s="247" t="str">
        <f>VLOOKUP(Ruimtestaat[[#This Row],[Code]],Locaties[#All],5,FALSE)</f>
        <v>7607 BJ </v>
      </c>
      <c r="E184" s="187" t="str">
        <f>VLOOKUP(Ruimtestaat[[#This Row],[Code]],Locaties[#All],6,FALSE)</f>
        <v>Losser</v>
      </c>
      <c r="F184" s="248"/>
      <c r="G184" s="246" t="s">
        <v>679</v>
      </c>
      <c r="H184" s="246" t="s">
        <v>1174</v>
      </c>
      <c r="I184" s="248" t="s">
        <v>1175</v>
      </c>
      <c r="J184" s="247">
        <v>2</v>
      </c>
      <c r="K184" s="247" t="str">
        <f>VLOOKUP(Ruimtestaat[[#This Row],[Ruimte code]],Ruimtegroepen[#All],2,FALSE)</f>
        <v>Kantoren/kantoortuin</v>
      </c>
      <c r="L184" s="187" t="s">
        <v>109</v>
      </c>
      <c r="M184" s="249" t="s">
        <v>1203</v>
      </c>
      <c r="N184" s="200">
        <v>88.2</v>
      </c>
      <c r="O184" s="190"/>
      <c r="P184" s="231" t="str">
        <f>VLOOKUP(Ruimtestaat[[#This Row],[Ruimte code]],Ruimtegroepen[#All],4,FALSE)</f>
        <v>B  (Bureauruimte)</v>
      </c>
      <c r="Q184" s="201"/>
      <c r="R184" s="202">
        <v>42</v>
      </c>
      <c r="S184" s="202" t="s">
        <v>2</v>
      </c>
      <c r="T184" s="202">
        <f>IF(R184&gt;0,IF(RIGHT(Ruimtestaat[[#This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84" s="202">
        <f>IF(T184&gt;0,VLOOKUP($J184,Ruimtegroepen[],3,FALSE)*VLOOKUP($L184,Vloersoorten[],3,FALSE)*VLOOKUP($S184,Frequenties[],3,FALSE)*VLOOKUP($A184,Locaties[],3,FALSE),0)</f>
        <v>0</v>
      </c>
      <c r="V184" s="202">
        <f>Ruimtestaat[[#This Row],[Uitvoeringen werkdagen]]*Ruimtestaat[[#This Row],[Oppervlak (netto)]]</f>
        <v>18522</v>
      </c>
      <c r="W184" s="242">
        <f>IF(U184&gt;0,Ruimtestaat[[#This Row],[Prest. (m2 /jaar) werkdagen]]/Ruimtestaat[[#This Row],[Norm (m2/uur) werkdagen]],0)</f>
        <v>0</v>
      </c>
      <c r="X184" s="243">
        <f>Ruimtestaat[[#This Row],[uren / jaar werkdagen]]*Tariefsopbouw!$D$38</f>
        <v>0</v>
      </c>
      <c r="Y184" s="33"/>
      <c r="Z184" s="33">
        <f>IF(Ruimtestaat[[#This Row],[Frequentie weekend]]&gt;0,VALUE(LEFT(Y184,1))*R184,0)</f>
        <v>0</v>
      </c>
      <c r="AA184" s="33">
        <f>IF($Z184&gt;0,VLOOKUP($J184,Ruimtegroepen[],3,FALSE)*VLOOKUP($L184,Vloersoorten[],3,FALSE)*VLOOKUP($Y184,Frequenties[],3,FALSE)*VLOOKUP(#REF!,Locaties[],3,FALSE),0)</f>
        <v>0</v>
      </c>
      <c r="AB184" s="33"/>
      <c r="AC184" s="33"/>
      <c r="AD184" s="33">
        <f>Ruimtestaat[[#This Row],[uren / jaar weekend]]*Tariefsopbouw!$D$40</f>
        <v>0</v>
      </c>
      <c r="AE184" s="86">
        <f>Ruimtestaat[[#This Row],[Prest. (m2 /jaar) weekend]]+Ruimtestaat[[#This Row],[Prest. (m2 /jaar) werkdagen]]</f>
        <v>18522</v>
      </c>
      <c r="AF184" s="86">
        <f>Ruimtestaat[[#This Row],[uren / jaar weekend]]+Ruimtestaat[[#This Row],[uren / jaar werkdagen]]</f>
        <v>0</v>
      </c>
      <c r="AG184" s="87">
        <f>Ruimtestaat[[#This Row],[kosten / jaar weekend]]+Ruimtestaat[[#This Row],[kosten / jaar werkdagen]]</f>
        <v>0</v>
      </c>
    </row>
    <row r="185" spans="1:33" ht="15" customHeight="1">
      <c r="A185" s="246">
        <v>2</v>
      </c>
      <c r="B185" s="21" t="str">
        <f>VLOOKUP(Ruimtestaat[[#This Row],[Code]],Locaties[#All],2,FALSE)</f>
        <v>Losser</v>
      </c>
      <c r="C185" s="247" t="str">
        <f>VLOOKUP(Ruimtestaat[[#This Row],[Code]],Locaties[#All],4,FALSE)</f>
        <v>Oranjestraat 2</v>
      </c>
      <c r="D185" s="247" t="str">
        <f>VLOOKUP(Ruimtestaat[[#This Row],[Code]],Locaties[#All],5,FALSE)</f>
        <v>7607 BJ </v>
      </c>
      <c r="E185" s="187" t="str">
        <f>VLOOKUP(Ruimtestaat[[#This Row],[Code]],Locaties[#All],6,FALSE)</f>
        <v>Losser</v>
      </c>
      <c r="F185" s="248"/>
      <c r="G185" s="246" t="s">
        <v>679</v>
      </c>
      <c r="H185" s="246" t="s">
        <v>573</v>
      </c>
      <c r="I185" s="248" t="s">
        <v>1169</v>
      </c>
      <c r="J185" s="187">
        <v>4</v>
      </c>
      <c r="K185" s="187" t="str">
        <f>VLOOKUP(Ruimtestaat[[#This Row],[Ruimte code]],Ruimtegroepen[#All],2,FALSE)</f>
        <v>Vergader/spreekkamers</v>
      </c>
      <c r="L185" s="187" t="s">
        <v>109</v>
      </c>
      <c r="M185" s="249" t="s">
        <v>1203</v>
      </c>
      <c r="N185" s="200">
        <v>10.4</v>
      </c>
      <c r="O185" s="190"/>
      <c r="P185" s="231" t="str">
        <f>VLOOKUP(Ruimtestaat[[#This Row],[Ruimte code]],Ruimtegroepen[#All],4,FALSE)</f>
        <v>B  (Bureauruimte)</v>
      </c>
      <c r="Q185" s="201"/>
      <c r="R185" s="202">
        <v>42</v>
      </c>
      <c r="S185" s="202" t="s">
        <v>2</v>
      </c>
      <c r="T185" s="202">
        <f>IF(R185&gt;0,IF(RIGHT(Ruimtestaat[[#This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85" s="202">
        <f>IF(T185&gt;0,VLOOKUP($J185,Ruimtegroepen[],3,FALSE)*VLOOKUP($L185,Vloersoorten[],3,FALSE)*VLOOKUP($S185,Frequenties[],3,FALSE)*VLOOKUP($A185,Locaties[],3,FALSE),0)</f>
        <v>0</v>
      </c>
      <c r="V185" s="202">
        <f>Ruimtestaat[[#This Row],[Uitvoeringen werkdagen]]*Ruimtestaat[[#This Row],[Oppervlak (netto)]]</f>
        <v>2184</v>
      </c>
      <c r="W185" s="242">
        <f>IF(U185&gt;0,Ruimtestaat[[#This Row],[Prest. (m2 /jaar) werkdagen]]/Ruimtestaat[[#This Row],[Norm (m2/uur) werkdagen]],0)</f>
        <v>0</v>
      </c>
      <c r="X185" s="243">
        <f>Ruimtestaat[[#This Row],[uren / jaar werkdagen]]*Tariefsopbouw!$D$38</f>
        <v>0</v>
      </c>
      <c r="Y185" s="33"/>
      <c r="Z185" s="33">
        <f>IF(Ruimtestaat[[#This Row],[Frequentie weekend]]&gt;0,VALUE(LEFT(Y185,1))*R185,0)</f>
        <v>0</v>
      </c>
      <c r="AA185" s="33">
        <f>IF($Z185&gt;0,VLOOKUP($J185,Ruimtegroepen[],3,FALSE)*VLOOKUP($L185,Vloersoorten[],3,FALSE)*VLOOKUP($Y185,Frequenties[],3,FALSE)*VLOOKUP(#REF!,Locaties[],3,FALSE),0)</f>
        <v>0</v>
      </c>
      <c r="AB185" s="33"/>
      <c r="AC185" s="33"/>
      <c r="AD185" s="33">
        <f>Ruimtestaat[[#This Row],[uren / jaar weekend]]*Tariefsopbouw!$D$40</f>
        <v>0</v>
      </c>
      <c r="AE185" s="86">
        <f>Ruimtestaat[[#This Row],[Prest. (m2 /jaar) weekend]]+Ruimtestaat[[#This Row],[Prest. (m2 /jaar) werkdagen]]</f>
        <v>2184</v>
      </c>
      <c r="AF185" s="86">
        <f>Ruimtestaat[[#This Row],[uren / jaar weekend]]+Ruimtestaat[[#This Row],[uren / jaar werkdagen]]</f>
        <v>0</v>
      </c>
      <c r="AG185" s="87">
        <f>Ruimtestaat[[#This Row],[kosten / jaar weekend]]+Ruimtestaat[[#This Row],[kosten / jaar werkdagen]]</f>
        <v>0</v>
      </c>
    </row>
    <row r="186" spans="1:33" ht="15" customHeight="1">
      <c r="A186" s="246">
        <v>2</v>
      </c>
      <c r="B186" s="21" t="str">
        <f>VLOOKUP(Ruimtestaat[[#This Row],[Code]],Locaties[#All],2,FALSE)</f>
        <v>Losser</v>
      </c>
      <c r="C186" s="247" t="str">
        <f>VLOOKUP(Ruimtestaat[[#This Row],[Code]],Locaties[#All],4,FALSE)</f>
        <v>Oranjestraat 2</v>
      </c>
      <c r="D186" s="247" t="str">
        <f>VLOOKUP(Ruimtestaat[[#This Row],[Code]],Locaties[#All],5,FALSE)</f>
        <v>7607 BJ </v>
      </c>
      <c r="E186" s="187" t="str">
        <f>VLOOKUP(Ruimtestaat[[#This Row],[Code]],Locaties[#All],6,FALSE)</f>
        <v>Losser</v>
      </c>
      <c r="F186" s="248"/>
      <c r="G186" s="246" t="s">
        <v>679</v>
      </c>
      <c r="H186" s="246" t="s">
        <v>574</v>
      </c>
      <c r="I186" s="248" t="s">
        <v>549</v>
      </c>
      <c r="J186" s="187">
        <v>6</v>
      </c>
      <c r="K186" s="187" t="str">
        <f>VLOOKUP(Ruimtestaat[[#This Row],[Ruimte code]],Ruimtegroepen[#All],2,FALSE)</f>
        <v>Gangen/hallen</v>
      </c>
      <c r="L186" s="187" t="s">
        <v>109</v>
      </c>
      <c r="M186" s="249" t="s">
        <v>1203</v>
      </c>
      <c r="N186" s="200">
        <v>42.8</v>
      </c>
      <c r="O186" s="190"/>
      <c r="P186" s="231" t="str">
        <f>VLOOKUP(Ruimtestaat[[#This Row],[Ruimte code]],Ruimtegroepen[#All],4,FALSE)</f>
        <v>V  (Verkeersruimte)</v>
      </c>
      <c r="Q186" s="201"/>
      <c r="R186" s="202">
        <v>42</v>
      </c>
      <c r="S186" s="202" t="s">
        <v>2</v>
      </c>
      <c r="T186" s="202">
        <f>IF(R186&gt;0,IF(RIGHT(Ruimtestaat[[#This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86" s="202">
        <f>IF(T186&gt;0,VLOOKUP($J186,Ruimtegroepen[],3,FALSE)*VLOOKUP($L186,Vloersoorten[],3,FALSE)*VLOOKUP($S186,Frequenties[],3,FALSE)*VLOOKUP($A186,Locaties[],3,FALSE),0)</f>
        <v>0</v>
      </c>
      <c r="V186" s="202">
        <f>Ruimtestaat[[#This Row],[Uitvoeringen werkdagen]]*Ruimtestaat[[#This Row],[Oppervlak (netto)]]</f>
        <v>8988</v>
      </c>
      <c r="W186" s="242">
        <f>IF(U186&gt;0,Ruimtestaat[[#This Row],[Prest. (m2 /jaar) werkdagen]]/Ruimtestaat[[#This Row],[Norm (m2/uur) werkdagen]],0)</f>
        <v>0</v>
      </c>
      <c r="X186" s="243">
        <f>Ruimtestaat[[#This Row],[uren / jaar werkdagen]]*Tariefsopbouw!$D$38</f>
        <v>0</v>
      </c>
      <c r="Y186" s="33"/>
      <c r="Z186" s="33">
        <f>IF(Ruimtestaat[[#This Row],[Frequentie weekend]]&gt;0,VALUE(LEFT(Y186,1))*R186,0)</f>
        <v>0</v>
      </c>
      <c r="AA186" s="33">
        <f>IF($Z186&gt;0,VLOOKUP($J186,Ruimtegroepen[],3,FALSE)*VLOOKUP($L186,Vloersoorten[],3,FALSE)*VLOOKUP($Y186,Frequenties[],3,FALSE)*VLOOKUP(#REF!,Locaties[],3,FALSE),0)</f>
        <v>0</v>
      </c>
      <c r="AB186" s="33"/>
      <c r="AC186" s="33"/>
      <c r="AD186" s="33">
        <f>Ruimtestaat[[#This Row],[uren / jaar weekend]]*Tariefsopbouw!$D$40</f>
        <v>0</v>
      </c>
      <c r="AE186" s="86">
        <f>Ruimtestaat[[#This Row],[Prest. (m2 /jaar) weekend]]+Ruimtestaat[[#This Row],[Prest. (m2 /jaar) werkdagen]]</f>
        <v>8988</v>
      </c>
      <c r="AF186" s="86">
        <f>Ruimtestaat[[#This Row],[uren / jaar weekend]]+Ruimtestaat[[#This Row],[uren / jaar werkdagen]]</f>
        <v>0</v>
      </c>
      <c r="AG186" s="87">
        <f>Ruimtestaat[[#This Row],[kosten / jaar weekend]]+Ruimtestaat[[#This Row],[kosten / jaar werkdagen]]</f>
        <v>0</v>
      </c>
    </row>
    <row r="187" spans="1:33" ht="15" customHeight="1">
      <c r="A187" s="246">
        <v>2</v>
      </c>
      <c r="B187" s="21" t="str">
        <f>VLOOKUP(Ruimtestaat[[#This Row],[Code]],Locaties[#All],2,FALSE)</f>
        <v>Losser</v>
      </c>
      <c r="C187" s="247" t="str">
        <f>VLOOKUP(Ruimtestaat[[#This Row],[Code]],Locaties[#All],4,FALSE)</f>
        <v>Oranjestraat 2</v>
      </c>
      <c r="D187" s="247" t="str">
        <f>VLOOKUP(Ruimtestaat[[#This Row],[Code]],Locaties[#All],5,FALSE)</f>
        <v>7607 BJ </v>
      </c>
      <c r="E187" s="187" t="str">
        <f>VLOOKUP(Ruimtestaat[[#This Row],[Code]],Locaties[#All],6,FALSE)</f>
        <v>Losser</v>
      </c>
      <c r="F187" s="248"/>
      <c r="G187" s="246" t="s">
        <v>679</v>
      </c>
      <c r="H187" s="246" t="s">
        <v>575</v>
      </c>
      <c r="I187" s="248" t="s">
        <v>549</v>
      </c>
      <c r="J187" s="187">
        <v>6</v>
      </c>
      <c r="K187" s="187" t="str">
        <f>VLOOKUP(Ruimtestaat[[#This Row],[Ruimte code]],Ruimtegroepen[#All],2,FALSE)</f>
        <v>Gangen/hallen</v>
      </c>
      <c r="L187" s="187" t="s">
        <v>109</v>
      </c>
      <c r="M187" s="249" t="s">
        <v>1203</v>
      </c>
      <c r="N187" s="200">
        <v>92.7</v>
      </c>
      <c r="O187" s="190"/>
      <c r="P187" s="231" t="str">
        <f>VLOOKUP(Ruimtestaat[[#This Row],[Ruimte code]],Ruimtegroepen[#All],4,FALSE)</f>
        <v>V  (Verkeersruimte)</v>
      </c>
      <c r="Q187" s="201"/>
      <c r="R187" s="202">
        <v>42</v>
      </c>
      <c r="S187" s="202" t="s">
        <v>2</v>
      </c>
      <c r="T187" s="202">
        <f>IF(R187&gt;0,IF(RIGHT(Ruimtestaat[[#This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87" s="202">
        <f>IF(T187&gt;0,VLOOKUP($J187,Ruimtegroepen[],3,FALSE)*VLOOKUP($L187,Vloersoorten[],3,FALSE)*VLOOKUP($S187,Frequenties[],3,FALSE)*VLOOKUP($A187,Locaties[],3,FALSE),0)</f>
        <v>0</v>
      </c>
      <c r="V187" s="202">
        <f>Ruimtestaat[[#This Row],[Uitvoeringen werkdagen]]*Ruimtestaat[[#This Row],[Oppervlak (netto)]]</f>
        <v>19467</v>
      </c>
      <c r="W187" s="242">
        <f>IF(U187&gt;0,Ruimtestaat[[#This Row],[Prest. (m2 /jaar) werkdagen]]/Ruimtestaat[[#This Row],[Norm (m2/uur) werkdagen]],0)</f>
        <v>0</v>
      </c>
      <c r="X187" s="243">
        <f>Ruimtestaat[[#This Row],[uren / jaar werkdagen]]*Tariefsopbouw!$D$38</f>
        <v>0</v>
      </c>
      <c r="Y187" s="33"/>
      <c r="Z187" s="33">
        <f>IF(Ruimtestaat[[#This Row],[Frequentie weekend]]&gt;0,VALUE(LEFT(Y187,1))*R187,0)</f>
        <v>0</v>
      </c>
      <c r="AA187" s="33">
        <f>IF($Z187&gt;0,VLOOKUP($J187,Ruimtegroepen[],3,FALSE)*VLOOKUP($L187,Vloersoorten[],3,FALSE)*VLOOKUP($Y187,Frequenties[],3,FALSE)*VLOOKUP(#REF!,Locaties[],3,FALSE),0)</f>
        <v>0</v>
      </c>
      <c r="AB187" s="33"/>
      <c r="AC187" s="33"/>
      <c r="AD187" s="33">
        <f>Ruimtestaat[[#This Row],[uren / jaar weekend]]*Tariefsopbouw!$D$40</f>
        <v>0</v>
      </c>
      <c r="AE187" s="86">
        <f>Ruimtestaat[[#This Row],[Prest. (m2 /jaar) weekend]]+Ruimtestaat[[#This Row],[Prest. (m2 /jaar) werkdagen]]</f>
        <v>19467</v>
      </c>
      <c r="AF187" s="86">
        <f>Ruimtestaat[[#This Row],[uren / jaar weekend]]+Ruimtestaat[[#This Row],[uren / jaar werkdagen]]</f>
        <v>0</v>
      </c>
      <c r="AG187" s="87">
        <f>Ruimtestaat[[#This Row],[kosten / jaar weekend]]+Ruimtestaat[[#This Row],[kosten / jaar werkdagen]]</f>
        <v>0</v>
      </c>
    </row>
    <row r="188" spans="1:33" ht="15" customHeight="1">
      <c r="A188" s="246">
        <v>2</v>
      </c>
      <c r="B188" s="21" t="str">
        <f>VLOOKUP(Ruimtestaat[[#This Row],[Code]],Locaties[#All],2,FALSE)</f>
        <v>Losser</v>
      </c>
      <c r="C188" s="247" t="str">
        <f>VLOOKUP(Ruimtestaat[[#This Row],[Code]],Locaties[#All],4,FALSE)</f>
        <v>Oranjestraat 2</v>
      </c>
      <c r="D188" s="247" t="str">
        <f>VLOOKUP(Ruimtestaat[[#This Row],[Code]],Locaties[#All],5,FALSE)</f>
        <v>7607 BJ </v>
      </c>
      <c r="E188" s="187" t="str">
        <f>VLOOKUP(Ruimtestaat[[#This Row],[Code]],Locaties[#All],6,FALSE)</f>
        <v>Losser</v>
      </c>
      <c r="F188" s="248"/>
      <c r="G188" s="246" t="s">
        <v>679</v>
      </c>
      <c r="H188" s="246" t="s">
        <v>576</v>
      </c>
      <c r="I188" s="248" t="s">
        <v>1176</v>
      </c>
      <c r="J188" s="187">
        <v>20</v>
      </c>
      <c r="K188" s="187" t="str">
        <f>VLOOKUP(Ruimtestaat[[#This Row],[Ruimte code]],Ruimtegroepen[#All],2,FALSE)</f>
        <v>Niet in onderhoud</v>
      </c>
      <c r="L188" s="187" t="s">
        <v>109</v>
      </c>
      <c r="M188" s="249" t="s">
        <v>1203</v>
      </c>
      <c r="N188" s="200"/>
      <c r="O188" s="190">
        <v>7.7</v>
      </c>
      <c r="P188" s="231" t="str">
        <f>VLOOKUP(Ruimtestaat[[#This Row],[Ruimte code]],Ruimtegroepen[#All],4,FALSE)</f>
        <v>V  (Verkeersruimte)</v>
      </c>
      <c r="Q188" s="201"/>
      <c r="R188" s="202"/>
      <c r="S188" s="202"/>
      <c r="T188" s="202">
        <f>IF(R188&gt;0,IF(RIGHT(Ruimtestaat[[#This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188" s="202">
        <f>IF(T188&gt;0,VLOOKUP($J188,Ruimtegroepen[],3,FALSE)*VLOOKUP($L188,Vloersoorten[],3,FALSE)*VLOOKUP($S188,Frequenties[],3,FALSE)*VLOOKUP($A188,Locaties[],3,FALSE),0)</f>
        <v>0</v>
      </c>
      <c r="V188" s="202">
        <f>Ruimtestaat[[#This Row],[Uitvoeringen werkdagen]]*Ruimtestaat[[#This Row],[Oppervlak (netto)]]</f>
        <v>0</v>
      </c>
      <c r="W188" s="242">
        <f>IF(U188&gt;0,Ruimtestaat[[#This Row],[Prest. (m2 /jaar) werkdagen]]/Ruimtestaat[[#This Row],[Norm (m2/uur) werkdagen]],0)</f>
        <v>0</v>
      </c>
      <c r="X188" s="243">
        <f>Ruimtestaat[[#This Row],[uren / jaar werkdagen]]*Tariefsopbouw!$D$38</f>
        <v>0</v>
      </c>
      <c r="Y188" s="33"/>
      <c r="Z188" s="33">
        <f>IF(Ruimtestaat[[#This Row],[Frequentie weekend]]&gt;0,VALUE(LEFT(Y188,1))*R188,0)</f>
        <v>0</v>
      </c>
      <c r="AA188" s="33">
        <f>IF($Z188&gt;0,VLOOKUP($J188,Ruimtegroepen[],3,FALSE)*VLOOKUP($L188,Vloersoorten[],3,FALSE)*VLOOKUP($Y188,Frequenties[],3,FALSE)*VLOOKUP(#REF!,Locaties[],3,FALSE),0)</f>
        <v>0</v>
      </c>
      <c r="AB188" s="33"/>
      <c r="AC188" s="33"/>
      <c r="AD188" s="33">
        <f>Ruimtestaat[[#This Row],[uren / jaar weekend]]*Tariefsopbouw!$D$40</f>
        <v>0</v>
      </c>
      <c r="AE188" s="86">
        <f>Ruimtestaat[[#This Row],[Prest. (m2 /jaar) weekend]]+Ruimtestaat[[#This Row],[Prest. (m2 /jaar) werkdagen]]</f>
        <v>0</v>
      </c>
      <c r="AF188" s="86">
        <f>Ruimtestaat[[#This Row],[uren / jaar weekend]]+Ruimtestaat[[#This Row],[uren / jaar werkdagen]]</f>
        <v>0</v>
      </c>
      <c r="AG188" s="87">
        <f>Ruimtestaat[[#This Row],[kosten / jaar weekend]]+Ruimtestaat[[#This Row],[kosten / jaar werkdagen]]</f>
        <v>0</v>
      </c>
    </row>
    <row r="189" spans="1:33" ht="15" customHeight="1">
      <c r="A189" s="246">
        <v>2</v>
      </c>
      <c r="B189" s="21" t="str">
        <f>VLOOKUP(Ruimtestaat[[#This Row],[Code]],Locaties[#All],2,FALSE)</f>
        <v>Losser</v>
      </c>
      <c r="C189" s="247" t="str">
        <f>VLOOKUP(Ruimtestaat[[#This Row],[Code]],Locaties[#All],4,FALSE)</f>
        <v>Oranjestraat 2</v>
      </c>
      <c r="D189" s="247" t="str">
        <f>VLOOKUP(Ruimtestaat[[#This Row],[Code]],Locaties[#All],5,FALSE)</f>
        <v>7607 BJ </v>
      </c>
      <c r="E189" s="187" t="str">
        <f>VLOOKUP(Ruimtestaat[[#This Row],[Code]],Locaties[#All],6,FALSE)</f>
        <v>Losser</v>
      </c>
      <c r="F189" s="248"/>
      <c r="G189" s="246" t="s">
        <v>679</v>
      </c>
      <c r="H189" s="246" t="s">
        <v>577</v>
      </c>
      <c r="I189" s="248" t="s">
        <v>1177</v>
      </c>
      <c r="J189" s="187">
        <v>5</v>
      </c>
      <c r="K189" s="187" t="str">
        <f>VLOOKUP(Ruimtestaat[[#This Row],[Ruimte code]],Ruimtegroepen[#All],2,FALSE)</f>
        <v>Sanitair</v>
      </c>
      <c r="L189" s="202" t="s">
        <v>108</v>
      </c>
      <c r="M189" s="249" t="s">
        <v>1206</v>
      </c>
      <c r="N189" s="200">
        <v>2.2000000000000002</v>
      </c>
      <c r="O189" s="190"/>
      <c r="P189" s="231" t="str">
        <f>VLOOKUP(Ruimtestaat[[#This Row],[Ruimte code]],Ruimtegroepen[#All],4,FALSE)</f>
        <v>S  (Sanitair)</v>
      </c>
      <c r="Q189" s="201"/>
      <c r="R189" s="202">
        <v>42</v>
      </c>
      <c r="S189" s="202" t="s">
        <v>2</v>
      </c>
      <c r="T189" s="202">
        <f>IF(R189&gt;0,IF(RIGHT(Ruimtestaat[[#This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89" s="202">
        <f>IF(T189&gt;0,VLOOKUP($J189,Ruimtegroepen[],3,FALSE)*VLOOKUP($L189,Vloersoorten[],3,FALSE)*VLOOKUP($S189,Frequenties[],3,FALSE)*VLOOKUP($A189,Locaties[],3,FALSE),0)</f>
        <v>0</v>
      </c>
      <c r="V189" s="202">
        <f>Ruimtestaat[[#This Row],[Uitvoeringen werkdagen]]*Ruimtestaat[[#This Row],[Oppervlak (netto)]]</f>
        <v>462.00000000000006</v>
      </c>
      <c r="W189" s="242">
        <f>IF(U189&gt;0,Ruimtestaat[[#This Row],[Prest. (m2 /jaar) werkdagen]]/Ruimtestaat[[#This Row],[Norm (m2/uur) werkdagen]],0)</f>
        <v>0</v>
      </c>
      <c r="X189" s="243">
        <f>Ruimtestaat[[#This Row],[uren / jaar werkdagen]]*Tariefsopbouw!$D$38</f>
        <v>0</v>
      </c>
      <c r="Y189" s="33"/>
      <c r="Z189" s="33">
        <f>IF(Ruimtestaat[[#This Row],[Frequentie weekend]]&gt;0,VALUE(LEFT(Y189,1))*R189,0)</f>
        <v>0</v>
      </c>
      <c r="AA189" s="33">
        <f>IF($Z189&gt;0,VLOOKUP($J189,Ruimtegroepen[],3,FALSE)*VLOOKUP($L189,Vloersoorten[],3,FALSE)*VLOOKUP($Y189,Frequenties[],3,FALSE)*VLOOKUP(#REF!,Locaties[],3,FALSE),0)</f>
        <v>0</v>
      </c>
      <c r="AB189" s="33"/>
      <c r="AC189" s="33"/>
      <c r="AD189" s="33">
        <f>Ruimtestaat[[#This Row],[uren / jaar weekend]]*Tariefsopbouw!$D$40</f>
        <v>0</v>
      </c>
      <c r="AE189" s="86">
        <f>Ruimtestaat[[#This Row],[Prest. (m2 /jaar) weekend]]+Ruimtestaat[[#This Row],[Prest. (m2 /jaar) werkdagen]]</f>
        <v>462.00000000000006</v>
      </c>
      <c r="AF189" s="86">
        <f>Ruimtestaat[[#This Row],[uren / jaar weekend]]+Ruimtestaat[[#This Row],[uren / jaar werkdagen]]</f>
        <v>0</v>
      </c>
      <c r="AG189" s="87">
        <f>Ruimtestaat[[#This Row],[kosten / jaar weekend]]+Ruimtestaat[[#This Row],[kosten / jaar werkdagen]]</f>
        <v>0</v>
      </c>
    </row>
    <row r="190" spans="1:33" ht="15" customHeight="1">
      <c r="A190" s="246">
        <v>2</v>
      </c>
      <c r="B190" s="21" t="str">
        <f>VLOOKUP(Ruimtestaat[[#This Row],[Code]],Locaties[#All],2,FALSE)</f>
        <v>Losser</v>
      </c>
      <c r="C190" s="247" t="str">
        <f>VLOOKUP(Ruimtestaat[[#This Row],[Code]],Locaties[#All],4,FALSE)</f>
        <v>Oranjestraat 2</v>
      </c>
      <c r="D190" s="247" t="str">
        <f>VLOOKUP(Ruimtestaat[[#This Row],[Code]],Locaties[#All],5,FALSE)</f>
        <v>7607 BJ </v>
      </c>
      <c r="E190" s="187" t="str">
        <f>VLOOKUP(Ruimtestaat[[#This Row],[Code]],Locaties[#All],6,FALSE)</f>
        <v>Losser</v>
      </c>
      <c r="F190" s="248"/>
      <c r="G190" s="246" t="s">
        <v>679</v>
      </c>
      <c r="H190" s="246" t="s">
        <v>578</v>
      </c>
      <c r="I190" s="248" t="s">
        <v>719</v>
      </c>
      <c r="J190" s="187">
        <v>5</v>
      </c>
      <c r="K190" s="187" t="str">
        <f>VLOOKUP(Ruimtestaat[[#This Row],[Ruimte code]],Ruimtegroepen[#All],2,FALSE)</f>
        <v>Sanitair</v>
      </c>
      <c r="L190" s="202" t="s">
        <v>108</v>
      </c>
      <c r="M190" s="249" t="s">
        <v>1206</v>
      </c>
      <c r="N190" s="200">
        <v>15.2</v>
      </c>
      <c r="O190" s="190"/>
      <c r="P190" s="231" t="str">
        <f>VLOOKUP(Ruimtestaat[[#This Row],[Ruimte code]],Ruimtegroepen[#All],4,FALSE)</f>
        <v>S  (Sanitair)</v>
      </c>
      <c r="Q190" s="201"/>
      <c r="R190" s="202">
        <v>42</v>
      </c>
      <c r="S190" s="202" t="s">
        <v>2</v>
      </c>
      <c r="T190" s="202">
        <f>IF(R190&gt;0,IF(RIGHT(Ruimtestaat[[#This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90" s="202">
        <f>IF(T190&gt;0,VLOOKUP($J190,Ruimtegroepen[],3,FALSE)*VLOOKUP($L190,Vloersoorten[],3,FALSE)*VLOOKUP($S190,Frequenties[],3,FALSE)*VLOOKUP($A190,Locaties[],3,FALSE),0)</f>
        <v>0</v>
      </c>
      <c r="V190" s="202">
        <f>Ruimtestaat[[#This Row],[Uitvoeringen werkdagen]]*Ruimtestaat[[#This Row],[Oppervlak (netto)]]</f>
        <v>3192</v>
      </c>
      <c r="W190" s="242">
        <f>IF(U190&gt;0,Ruimtestaat[[#This Row],[Prest. (m2 /jaar) werkdagen]]/Ruimtestaat[[#This Row],[Norm (m2/uur) werkdagen]],0)</f>
        <v>0</v>
      </c>
      <c r="X190" s="243">
        <f>Ruimtestaat[[#This Row],[uren / jaar werkdagen]]*Tariefsopbouw!$D$38</f>
        <v>0</v>
      </c>
      <c r="Y190" s="33"/>
      <c r="Z190" s="33">
        <f>IF(Ruimtestaat[[#This Row],[Frequentie weekend]]&gt;0,VALUE(LEFT(Y190,1))*R190,0)</f>
        <v>0</v>
      </c>
      <c r="AA190" s="33">
        <f>IF($Z190&gt;0,VLOOKUP($J190,Ruimtegroepen[],3,FALSE)*VLOOKUP($L190,Vloersoorten[],3,FALSE)*VLOOKUP($Y190,Frequenties[],3,FALSE)*VLOOKUP(#REF!,Locaties[],3,FALSE),0)</f>
        <v>0</v>
      </c>
      <c r="AB190" s="33"/>
      <c r="AC190" s="33"/>
      <c r="AD190" s="33">
        <f>Ruimtestaat[[#This Row],[uren / jaar weekend]]*Tariefsopbouw!$D$40</f>
        <v>0</v>
      </c>
      <c r="AE190" s="86">
        <f>Ruimtestaat[[#This Row],[Prest. (m2 /jaar) weekend]]+Ruimtestaat[[#This Row],[Prest. (m2 /jaar) werkdagen]]</f>
        <v>3192</v>
      </c>
      <c r="AF190" s="86">
        <f>Ruimtestaat[[#This Row],[uren / jaar weekend]]+Ruimtestaat[[#This Row],[uren / jaar werkdagen]]</f>
        <v>0</v>
      </c>
      <c r="AG190" s="87">
        <f>Ruimtestaat[[#This Row],[kosten / jaar weekend]]+Ruimtestaat[[#This Row],[kosten / jaar werkdagen]]</f>
        <v>0</v>
      </c>
    </row>
    <row r="191" spans="1:33" ht="15" customHeight="1">
      <c r="A191" s="246">
        <v>2</v>
      </c>
      <c r="B191" s="21" t="str">
        <f>VLOOKUP(Ruimtestaat[[#This Row],[Code]],Locaties[#All],2,FALSE)</f>
        <v>Losser</v>
      </c>
      <c r="C191" s="247" t="str">
        <f>VLOOKUP(Ruimtestaat[[#This Row],[Code]],Locaties[#All],4,FALSE)</f>
        <v>Oranjestraat 2</v>
      </c>
      <c r="D191" s="247" t="str">
        <f>VLOOKUP(Ruimtestaat[[#This Row],[Code]],Locaties[#All],5,FALSE)</f>
        <v>7607 BJ </v>
      </c>
      <c r="E191" s="187" t="str">
        <f>VLOOKUP(Ruimtestaat[[#This Row],[Code]],Locaties[#All],6,FALSE)</f>
        <v>Losser</v>
      </c>
      <c r="F191" s="248"/>
      <c r="G191" s="246" t="s">
        <v>679</v>
      </c>
      <c r="H191" s="246" t="s">
        <v>579</v>
      </c>
      <c r="I191" s="248" t="s">
        <v>1161</v>
      </c>
      <c r="J191" s="187">
        <v>5</v>
      </c>
      <c r="K191" s="187" t="str">
        <f>VLOOKUP(Ruimtestaat[[#This Row],[Ruimte code]],Ruimtegroepen[#All],2,FALSE)</f>
        <v>Sanitair</v>
      </c>
      <c r="L191" s="202" t="s">
        <v>108</v>
      </c>
      <c r="M191" s="249" t="s">
        <v>1206</v>
      </c>
      <c r="N191" s="200">
        <v>11.1</v>
      </c>
      <c r="O191" s="190"/>
      <c r="P191" s="231" t="str">
        <f>VLOOKUP(Ruimtestaat[[#This Row],[Ruimte code]],Ruimtegroepen[#All],4,FALSE)</f>
        <v>S  (Sanitair)</v>
      </c>
      <c r="Q191" s="201"/>
      <c r="R191" s="202">
        <v>42</v>
      </c>
      <c r="S191" s="202" t="s">
        <v>2</v>
      </c>
      <c r="T191" s="202">
        <f>IF(R191&gt;0,IF(RIGHT(Ruimtestaat[[#This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91" s="202">
        <f>IF(T191&gt;0,VLOOKUP($J191,Ruimtegroepen[],3,FALSE)*VLOOKUP($L191,Vloersoorten[],3,FALSE)*VLOOKUP($S191,Frequenties[],3,FALSE)*VLOOKUP($A191,Locaties[],3,FALSE),0)</f>
        <v>0</v>
      </c>
      <c r="V191" s="202">
        <f>Ruimtestaat[[#This Row],[Uitvoeringen werkdagen]]*Ruimtestaat[[#This Row],[Oppervlak (netto)]]</f>
        <v>2331</v>
      </c>
      <c r="W191" s="242">
        <f>IF(U191&gt;0,Ruimtestaat[[#This Row],[Prest. (m2 /jaar) werkdagen]]/Ruimtestaat[[#This Row],[Norm (m2/uur) werkdagen]],0)</f>
        <v>0</v>
      </c>
      <c r="X191" s="243">
        <f>Ruimtestaat[[#This Row],[uren / jaar werkdagen]]*Tariefsopbouw!$D$38</f>
        <v>0</v>
      </c>
      <c r="Y191" s="33"/>
      <c r="Z191" s="33">
        <f>IF(Ruimtestaat[[#This Row],[Frequentie weekend]]&gt;0,VALUE(LEFT(Y191,1))*R191,0)</f>
        <v>0</v>
      </c>
      <c r="AA191" s="33">
        <f>IF($Z191&gt;0,VLOOKUP($J191,Ruimtegroepen[],3,FALSE)*VLOOKUP($L191,Vloersoorten[],3,FALSE)*VLOOKUP($Y191,Frequenties[],3,FALSE)*VLOOKUP(#REF!,Locaties[],3,FALSE),0)</f>
        <v>0</v>
      </c>
      <c r="AB191" s="33"/>
      <c r="AC191" s="33"/>
      <c r="AD191" s="33">
        <f>Ruimtestaat[[#This Row],[uren / jaar weekend]]*Tariefsopbouw!$D$40</f>
        <v>0</v>
      </c>
      <c r="AE191" s="86">
        <f>Ruimtestaat[[#This Row],[Prest. (m2 /jaar) weekend]]+Ruimtestaat[[#This Row],[Prest. (m2 /jaar) werkdagen]]</f>
        <v>2331</v>
      </c>
      <c r="AF191" s="86">
        <f>Ruimtestaat[[#This Row],[uren / jaar weekend]]+Ruimtestaat[[#This Row],[uren / jaar werkdagen]]</f>
        <v>0</v>
      </c>
      <c r="AG191" s="87">
        <f>Ruimtestaat[[#This Row],[kosten / jaar weekend]]+Ruimtestaat[[#This Row],[kosten / jaar werkdagen]]</f>
        <v>0</v>
      </c>
    </row>
    <row r="192" spans="1:33" ht="15" customHeight="1">
      <c r="A192" s="246">
        <v>2</v>
      </c>
      <c r="B192" s="21" t="str">
        <f>VLOOKUP(Ruimtestaat[[#This Row],[Code]],Locaties[#All],2,FALSE)</f>
        <v>Losser</v>
      </c>
      <c r="C192" s="247" t="str">
        <f>VLOOKUP(Ruimtestaat[[#This Row],[Code]],Locaties[#All],4,FALSE)</f>
        <v>Oranjestraat 2</v>
      </c>
      <c r="D192" s="247" t="str">
        <f>VLOOKUP(Ruimtestaat[[#This Row],[Code]],Locaties[#All],5,FALSE)</f>
        <v>7607 BJ </v>
      </c>
      <c r="E192" s="187" t="str">
        <f>VLOOKUP(Ruimtestaat[[#This Row],[Code]],Locaties[#All],6,FALSE)</f>
        <v>Losser</v>
      </c>
      <c r="F192" s="248"/>
      <c r="G192" s="246" t="s">
        <v>679</v>
      </c>
      <c r="H192" s="246" t="s">
        <v>580</v>
      </c>
      <c r="I192" s="248" t="s">
        <v>614</v>
      </c>
      <c r="J192" s="187">
        <v>2</v>
      </c>
      <c r="K192" s="187" t="str">
        <f>VLOOKUP(Ruimtestaat[[#This Row],[Ruimte code]],Ruimtegroepen[#All],2,FALSE)</f>
        <v>Kantoren/kantoortuin</v>
      </c>
      <c r="L192" s="187" t="s">
        <v>109</v>
      </c>
      <c r="M192" s="249" t="s">
        <v>1203</v>
      </c>
      <c r="N192" s="200">
        <v>12.7</v>
      </c>
      <c r="O192" s="190"/>
      <c r="P192" s="231" t="str">
        <f>VLOOKUP(Ruimtestaat[[#This Row],[Ruimte code]],Ruimtegroepen[#All],4,FALSE)</f>
        <v>B  (Bureauruimte)</v>
      </c>
      <c r="Q192" s="201"/>
      <c r="R192" s="202">
        <v>42</v>
      </c>
      <c r="S192" s="202" t="s">
        <v>2</v>
      </c>
      <c r="T192" s="202">
        <f>IF(R192&gt;0,IF(RIGHT(Ruimtestaat[[#This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92" s="202">
        <f>IF(T192&gt;0,VLOOKUP($J192,Ruimtegroepen[],3,FALSE)*VLOOKUP($L192,Vloersoorten[],3,FALSE)*VLOOKUP($S192,Frequenties[],3,FALSE)*VLOOKUP($A192,Locaties[],3,FALSE),0)</f>
        <v>0</v>
      </c>
      <c r="V192" s="202">
        <f>Ruimtestaat[[#This Row],[Uitvoeringen werkdagen]]*Ruimtestaat[[#This Row],[Oppervlak (netto)]]</f>
        <v>2667</v>
      </c>
      <c r="W192" s="242">
        <f>IF(U192&gt;0,Ruimtestaat[[#This Row],[Prest. (m2 /jaar) werkdagen]]/Ruimtestaat[[#This Row],[Norm (m2/uur) werkdagen]],0)</f>
        <v>0</v>
      </c>
      <c r="X192" s="243">
        <f>Ruimtestaat[[#This Row],[uren / jaar werkdagen]]*Tariefsopbouw!$D$38</f>
        <v>0</v>
      </c>
      <c r="Y192" s="33"/>
      <c r="Z192" s="33">
        <f>IF(Ruimtestaat[[#This Row],[Frequentie weekend]]&gt;0,VALUE(LEFT(Y192,1))*R192,0)</f>
        <v>0</v>
      </c>
      <c r="AA192" s="33">
        <f>IF($Z192&gt;0,VLOOKUP($J192,Ruimtegroepen[],3,FALSE)*VLOOKUP($L192,Vloersoorten[],3,FALSE)*VLOOKUP($Y192,Frequenties[],3,FALSE)*VLOOKUP(#REF!,Locaties[],3,FALSE),0)</f>
        <v>0</v>
      </c>
      <c r="AB192" s="33"/>
      <c r="AC192" s="33"/>
      <c r="AD192" s="33">
        <f>Ruimtestaat[[#This Row],[uren / jaar weekend]]*Tariefsopbouw!$D$40</f>
        <v>0</v>
      </c>
      <c r="AE192" s="86">
        <f>Ruimtestaat[[#This Row],[Prest. (m2 /jaar) weekend]]+Ruimtestaat[[#This Row],[Prest. (m2 /jaar) werkdagen]]</f>
        <v>2667</v>
      </c>
      <c r="AF192" s="86">
        <f>Ruimtestaat[[#This Row],[uren / jaar weekend]]+Ruimtestaat[[#This Row],[uren / jaar werkdagen]]</f>
        <v>0</v>
      </c>
      <c r="AG192" s="87">
        <f>Ruimtestaat[[#This Row],[kosten / jaar weekend]]+Ruimtestaat[[#This Row],[kosten / jaar werkdagen]]</f>
        <v>0</v>
      </c>
    </row>
    <row r="193" spans="1:33" ht="15" customHeight="1">
      <c r="A193" s="246">
        <v>2</v>
      </c>
      <c r="B193" s="21" t="str">
        <f>VLOOKUP(Ruimtestaat[[#This Row],[Code]],Locaties[#All],2,FALSE)</f>
        <v>Losser</v>
      </c>
      <c r="C193" s="247" t="str">
        <f>VLOOKUP(Ruimtestaat[[#This Row],[Code]],Locaties[#All],4,FALSE)</f>
        <v>Oranjestraat 2</v>
      </c>
      <c r="D193" s="247" t="str">
        <f>VLOOKUP(Ruimtestaat[[#This Row],[Code]],Locaties[#All],5,FALSE)</f>
        <v>7607 BJ </v>
      </c>
      <c r="E193" s="187" t="str">
        <f>VLOOKUP(Ruimtestaat[[#This Row],[Code]],Locaties[#All],6,FALSE)</f>
        <v>Losser</v>
      </c>
      <c r="F193" s="248"/>
      <c r="G193" s="246" t="s">
        <v>679</v>
      </c>
      <c r="H193" s="246" t="s">
        <v>582</v>
      </c>
      <c r="I193" s="248" t="s">
        <v>571</v>
      </c>
      <c r="J193" s="187">
        <v>2</v>
      </c>
      <c r="K193" s="187" t="str">
        <f>VLOOKUP(Ruimtestaat[[#This Row],[Ruimte code]],Ruimtegroepen[#All],2,FALSE)</f>
        <v>Kantoren/kantoortuin</v>
      </c>
      <c r="L193" s="187" t="s">
        <v>109</v>
      </c>
      <c r="M193" s="249" t="s">
        <v>1203</v>
      </c>
      <c r="N193" s="200">
        <v>24.8</v>
      </c>
      <c r="O193" s="190"/>
      <c r="P193" s="231" t="str">
        <f>VLOOKUP(Ruimtestaat[[#This Row],[Ruimte code]],Ruimtegroepen[#All],4,FALSE)</f>
        <v>B  (Bureauruimte)</v>
      </c>
      <c r="Q193" s="201"/>
      <c r="R193" s="202">
        <v>42</v>
      </c>
      <c r="S193" s="202" t="s">
        <v>2</v>
      </c>
      <c r="T193" s="202">
        <f>IF(R193&gt;0,IF(RIGHT(Ruimtestaat[[#This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93" s="202">
        <f>IF(T193&gt;0,VLOOKUP($J193,Ruimtegroepen[],3,FALSE)*VLOOKUP($L193,Vloersoorten[],3,FALSE)*VLOOKUP($S193,Frequenties[],3,FALSE)*VLOOKUP($A193,Locaties[],3,FALSE),0)</f>
        <v>0</v>
      </c>
      <c r="V193" s="202">
        <f>Ruimtestaat[[#This Row],[Uitvoeringen werkdagen]]*Ruimtestaat[[#This Row],[Oppervlak (netto)]]</f>
        <v>5208</v>
      </c>
      <c r="W193" s="242">
        <f>IF(U193&gt;0,Ruimtestaat[[#This Row],[Prest. (m2 /jaar) werkdagen]]/Ruimtestaat[[#This Row],[Norm (m2/uur) werkdagen]],0)</f>
        <v>0</v>
      </c>
      <c r="X193" s="243">
        <f>Ruimtestaat[[#This Row],[uren / jaar werkdagen]]*Tariefsopbouw!$D$38</f>
        <v>0</v>
      </c>
      <c r="Y193" s="33"/>
      <c r="Z193" s="33">
        <f>IF(Ruimtestaat[[#This Row],[Frequentie weekend]]&gt;0,VALUE(LEFT(Y193,1))*R193,0)</f>
        <v>0</v>
      </c>
      <c r="AA193" s="33">
        <f>IF($Z193&gt;0,VLOOKUP($J193,Ruimtegroepen[],3,FALSE)*VLOOKUP($L193,Vloersoorten[],3,FALSE)*VLOOKUP($Y193,Frequenties[],3,FALSE)*VLOOKUP(#REF!,Locaties[],3,FALSE),0)</f>
        <v>0</v>
      </c>
      <c r="AB193" s="33"/>
      <c r="AC193" s="33"/>
      <c r="AD193" s="33">
        <f>Ruimtestaat[[#This Row],[uren / jaar weekend]]*Tariefsopbouw!$D$40</f>
        <v>0</v>
      </c>
      <c r="AE193" s="86">
        <f>Ruimtestaat[[#This Row],[Prest. (m2 /jaar) weekend]]+Ruimtestaat[[#This Row],[Prest. (m2 /jaar) werkdagen]]</f>
        <v>5208</v>
      </c>
      <c r="AF193" s="86">
        <f>Ruimtestaat[[#This Row],[uren / jaar weekend]]+Ruimtestaat[[#This Row],[uren / jaar werkdagen]]</f>
        <v>0</v>
      </c>
      <c r="AG193" s="87">
        <f>Ruimtestaat[[#This Row],[kosten / jaar weekend]]+Ruimtestaat[[#This Row],[kosten / jaar werkdagen]]</f>
        <v>0</v>
      </c>
    </row>
    <row r="194" spans="1:33" ht="15" customHeight="1">
      <c r="A194" s="246">
        <v>2</v>
      </c>
      <c r="B194" s="21" t="str">
        <f>VLOOKUP(Ruimtestaat[[#This Row],[Code]],Locaties[#All],2,FALSE)</f>
        <v>Losser</v>
      </c>
      <c r="C194" s="247" t="str">
        <f>VLOOKUP(Ruimtestaat[[#This Row],[Code]],Locaties[#All],4,FALSE)</f>
        <v>Oranjestraat 2</v>
      </c>
      <c r="D194" s="247" t="str">
        <f>VLOOKUP(Ruimtestaat[[#This Row],[Code]],Locaties[#All],5,FALSE)</f>
        <v>7607 BJ </v>
      </c>
      <c r="E194" s="187" t="str">
        <f>VLOOKUP(Ruimtestaat[[#This Row],[Code]],Locaties[#All],6,FALSE)</f>
        <v>Losser</v>
      </c>
      <c r="F194" s="248"/>
      <c r="G194" s="246" t="s">
        <v>679</v>
      </c>
      <c r="H194" s="246" t="s">
        <v>583</v>
      </c>
      <c r="I194" s="248" t="s">
        <v>1169</v>
      </c>
      <c r="J194" s="187">
        <v>4</v>
      </c>
      <c r="K194" s="187" t="str">
        <f>VLOOKUP(Ruimtestaat[[#This Row],[Ruimte code]],Ruimtegroepen[#All],2,FALSE)</f>
        <v>Vergader/spreekkamers</v>
      </c>
      <c r="L194" s="187" t="s">
        <v>109</v>
      </c>
      <c r="M194" s="249" t="s">
        <v>1203</v>
      </c>
      <c r="N194" s="200">
        <v>21</v>
      </c>
      <c r="O194" s="190"/>
      <c r="P194" s="231" t="str">
        <f>VLOOKUP(Ruimtestaat[[#This Row],[Ruimte code]],Ruimtegroepen[#All],4,FALSE)</f>
        <v>B  (Bureauruimte)</v>
      </c>
      <c r="Q194" s="201"/>
      <c r="R194" s="202">
        <v>42</v>
      </c>
      <c r="S194" s="202" t="s">
        <v>2</v>
      </c>
      <c r="T194" s="202">
        <f>IF(R194&gt;0,IF(RIGHT(Ruimtestaat[[#This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94" s="202">
        <f>IF(T194&gt;0,VLOOKUP($J194,Ruimtegroepen[],3,FALSE)*VLOOKUP($L194,Vloersoorten[],3,FALSE)*VLOOKUP($S194,Frequenties[],3,FALSE)*VLOOKUP($A194,Locaties[],3,FALSE),0)</f>
        <v>0</v>
      </c>
      <c r="V194" s="202">
        <f>Ruimtestaat[[#This Row],[Uitvoeringen werkdagen]]*Ruimtestaat[[#This Row],[Oppervlak (netto)]]</f>
        <v>4410</v>
      </c>
      <c r="W194" s="242">
        <f>IF(U194&gt;0,Ruimtestaat[[#This Row],[Prest. (m2 /jaar) werkdagen]]/Ruimtestaat[[#This Row],[Norm (m2/uur) werkdagen]],0)</f>
        <v>0</v>
      </c>
      <c r="X194" s="243">
        <f>Ruimtestaat[[#This Row],[uren / jaar werkdagen]]*Tariefsopbouw!$D$38</f>
        <v>0</v>
      </c>
      <c r="Y194" s="33"/>
      <c r="Z194" s="33">
        <f>IF(Ruimtestaat[[#This Row],[Frequentie weekend]]&gt;0,VALUE(LEFT(Y194,1))*R194,0)</f>
        <v>0</v>
      </c>
      <c r="AA194" s="33">
        <f>IF($Z194&gt;0,VLOOKUP($J194,Ruimtegroepen[],3,FALSE)*VLOOKUP($L194,Vloersoorten[],3,FALSE)*VLOOKUP($Y194,Frequenties[],3,FALSE)*VLOOKUP(#REF!,Locaties[],3,FALSE),0)</f>
        <v>0</v>
      </c>
      <c r="AB194" s="33"/>
      <c r="AC194" s="33"/>
      <c r="AD194" s="33">
        <f>Ruimtestaat[[#This Row],[uren / jaar weekend]]*Tariefsopbouw!$D$40</f>
        <v>0</v>
      </c>
      <c r="AE194" s="86">
        <f>Ruimtestaat[[#This Row],[Prest. (m2 /jaar) weekend]]+Ruimtestaat[[#This Row],[Prest. (m2 /jaar) werkdagen]]</f>
        <v>4410</v>
      </c>
      <c r="AF194" s="86">
        <f>Ruimtestaat[[#This Row],[uren / jaar weekend]]+Ruimtestaat[[#This Row],[uren / jaar werkdagen]]</f>
        <v>0</v>
      </c>
      <c r="AG194" s="87">
        <f>Ruimtestaat[[#This Row],[kosten / jaar weekend]]+Ruimtestaat[[#This Row],[kosten / jaar werkdagen]]</f>
        <v>0</v>
      </c>
    </row>
    <row r="195" spans="1:33" ht="15" customHeight="1">
      <c r="A195" s="246">
        <v>2</v>
      </c>
      <c r="B195" s="21" t="str">
        <f>VLOOKUP(Ruimtestaat[[#This Row],[Code]],Locaties[#All],2,FALSE)</f>
        <v>Losser</v>
      </c>
      <c r="C195" s="247" t="str">
        <f>VLOOKUP(Ruimtestaat[[#This Row],[Code]],Locaties[#All],4,FALSE)</f>
        <v>Oranjestraat 2</v>
      </c>
      <c r="D195" s="247" t="str">
        <f>VLOOKUP(Ruimtestaat[[#This Row],[Code]],Locaties[#All],5,FALSE)</f>
        <v>7607 BJ </v>
      </c>
      <c r="E195" s="187" t="str">
        <f>VLOOKUP(Ruimtestaat[[#This Row],[Code]],Locaties[#All],6,FALSE)</f>
        <v>Losser</v>
      </c>
      <c r="F195" s="248"/>
      <c r="G195" s="246" t="s">
        <v>679</v>
      </c>
      <c r="H195" s="246" t="s">
        <v>585</v>
      </c>
      <c r="I195" s="248" t="s">
        <v>1169</v>
      </c>
      <c r="J195" s="187">
        <v>4</v>
      </c>
      <c r="K195" s="187" t="str">
        <f>VLOOKUP(Ruimtestaat[[#This Row],[Ruimte code]],Ruimtegroepen[#All],2,FALSE)</f>
        <v>Vergader/spreekkamers</v>
      </c>
      <c r="L195" s="187" t="s">
        <v>109</v>
      </c>
      <c r="M195" s="249" t="s">
        <v>1203</v>
      </c>
      <c r="N195" s="200">
        <v>14.7</v>
      </c>
      <c r="O195" s="190"/>
      <c r="P195" s="231" t="str">
        <f>VLOOKUP(Ruimtestaat[[#This Row],[Ruimte code]],Ruimtegroepen[#All],4,FALSE)</f>
        <v>B  (Bureauruimte)</v>
      </c>
      <c r="Q195" s="201"/>
      <c r="R195" s="202">
        <v>42</v>
      </c>
      <c r="S195" s="202" t="s">
        <v>2</v>
      </c>
      <c r="T195" s="202">
        <f>IF(R195&gt;0,IF(RIGHT(Ruimtestaat[[#This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95" s="202">
        <f>IF(T195&gt;0,VLOOKUP($J195,Ruimtegroepen[],3,FALSE)*VLOOKUP($L195,Vloersoorten[],3,FALSE)*VLOOKUP($S195,Frequenties[],3,FALSE)*VLOOKUP($A195,Locaties[],3,FALSE),0)</f>
        <v>0</v>
      </c>
      <c r="V195" s="202">
        <f>Ruimtestaat[[#This Row],[Uitvoeringen werkdagen]]*Ruimtestaat[[#This Row],[Oppervlak (netto)]]</f>
        <v>3087</v>
      </c>
      <c r="W195" s="242">
        <f>IF(U195&gt;0,Ruimtestaat[[#This Row],[Prest. (m2 /jaar) werkdagen]]/Ruimtestaat[[#This Row],[Norm (m2/uur) werkdagen]],0)</f>
        <v>0</v>
      </c>
      <c r="X195" s="243">
        <f>Ruimtestaat[[#This Row],[uren / jaar werkdagen]]*Tariefsopbouw!$D$38</f>
        <v>0</v>
      </c>
      <c r="Y195" s="33"/>
      <c r="Z195" s="33">
        <f>IF(Ruimtestaat[[#This Row],[Frequentie weekend]]&gt;0,VALUE(LEFT(Y195,1))*R195,0)</f>
        <v>0</v>
      </c>
      <c r="AA195" s="33">
        <f>IF($Z195&gt;0,VLOOKUP($J195,Ruimtegroepen[],3,FALSE)*VLOOKUP($L195,Vloersoorten[],3,FALSE)*VLOOKUP($Y195,Frequenties[],3,FALSE)*VLOOKUP(#REF!,Locaties[],3,FALSE),0)</f>
        <v>0</v>
      </c>
      <c r="AB195" s="33"/>
      <c r="AC195" s="33"/>
      <c r="AD195" s="33">
        <f>Ruimtestaat[[#This Row],[uren / jaar weekend]]*Tariefsopbouw!$D$40</f>
        <v>0</v>
      </c>
      <c r="AE195" s="86">
        <f>Ruimtestaat[[#This Row],[Prest. (m2 /jaar) weekend]]+Ruimtestaat[[#This Row],[Prest. (m2 /jaar) werkdagen]]</f>
        <v>3087</v>
      </c>
      <c r="AF195" s="86">
        <f>Ruimtestaat[[#This Row],[uren / jaar weekend]]+Ruimtestaat[[#This Row],[uren / jaar werkdagen]]</f>
        <v>0</v>
      </c>
      <c r="AG195" s="87">
        <f>Ruimtestaat[[#This Row],[kosten / jaar weekend]]+Ruimtestaat[[#This Row],[kosten / jaar werkdagen]]</f>
        <v>0</v>
      </c>
    </row>
    <row r="196" spans="1:33" ht="15" customHeight="1">
      <c r="A196" s="246">
        <v>2</v>
      </c>
      <c r="B196" s="21" t="str">
        <f>VLOOKUP(Ruimtestaat[[#This Row],[Code]],Locaties[#All],2,FALSE)</f>
        <v>Losser</v>
      </c>
      <c r="C196" s="247" t="str">
        <f>VLOOKUP(Ruimtestaat[[#This Row],[Code]],Locaties[#All],4,FALSE)</f>
        <v>Oranjestraat 2</v>
      </c>
      <c r="D196" s="247" t="str">
        <f>VLOOKUP(Ruimtestaat[[#This Row],[Code]],Locaties[#All],5,FALSE)</f>
        <v>7607 BJ </v>
      </c>
      <c r="E196" s="187" t="str">
        <f>VLOOKUP(Ruimtestaat[[#This Row],[Code]],Locaties[#All],6,FALSE)</f>
        <v>Losser</v>
      </c>
      <c r="F196" s="248"/>
      <c r="G196" s="246" t="s">
        <v>679</v>
      </c>
      <c r="H196" s="246" t="s">
        <v>586</v>
      </c>
      <c r="I196" s="248" t="s">
        <v>553</v>
      </c>
      <c r="J196" s="187">
        <v>20</v>
      </c>
      <c r="K196" s="187" t="str">
        <f>VLOOKUP(Ruimtestaat[[#This Row],[Ruimte code]],Ruimtegroepen[#All],2,FALSE)</f>
        <v>Niet in onderhoud</v>
      </c>
      <c r="L196" s="202" t="s">
        <v>108</v>
      </c>
      <c r="M196" s="249" t="s">
        <v>1206</v>
      </c>
      <c r="N196" s="200"/>
      <c r="O196" s="190">
        <v>12.7</v>
      </c>
      <c r="P196" s="231" t="str">
        <f>VLOOKUP(Ruimtestaat[[#This Row],[Ruimte code]],Ruimtegroepen[#All],4,FALSE)</f>
        <v>V  (Verkeersruimte)</v>
      </c>
      <c r="Q196" s="201"/>
      <c r="R196" s="202"/>
      <c r="S196" s="202"/>
      <c r="T196" s="202">
        <f>IF(R196&gt;0,IF(RIGHT(Ruimtestaat[[#This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196" s="202">
        <f>IF(T196&gt;0,VLOOKUP($J196,Ruimtegroepen[],3,FALSE)*VLOOKUP($L196,Vloersoorten[],3,FALSE)*VLOOKUP($S196,Frequenties[],3,FALSE)*VLOOKUP($A196,Locaties[],3,FALSE),0)</f>
        <v>0</v>
      </c>
      <c r="V196" s="202">
        <f>Ruimtestaat[[#This Row],[Uitvoeringen werkdagen]]*Ruimtestaat[[#This Row],[Oppervlak (netto)]]</f>
        <v>0</v>
      </c>
      <c r="W196" s="242">
        <f>IF(U196&gt;0,Ruimtestaat[[#This Row],[Prest. (m2 /jaar) werkdagen]]/Ruimtestaat[[#This Row],[Norm (m2/uur) werkdagen]],0)</f>
        <v>0</v>
      </c>
      <c r="X196" s="243">
        <f>Ruimtestaat[[#This Row],[uren / jaar werkdagen]]*Tariefsopbouw!$D$38</f>
        <v>0</v>
      </c>
      <c r="Y196" s="33"/>
      <c r="Z196" s="33">
        <f>IF(Ruimtestaat[[#This Row],[Frequentie weekend]]&gt;0,VALUE(LEFT(Y196,1))*R196,0)</f>
        <v>0</v>
      </c>
      <c r="AA196" s="33">
        <f>IF($Z196&gt;0,VLOOKUP($J196,Ruimtegroepen[],3,FALSE)*VLOOKUP($L196,Vloersoorten[],3,FALSE)*VLOOKUP($Y196,Frequenties[],3,FALSE)*VLOOKUP(#REF!,Locaties[],3,FALSE),0)</f>
        <v>0</v>
      </c>
      <c r="AB196" s="33"/>
      <c r="AC196" s="33"/>
      <c r="AD196" s="33">
        <f>Ruimtestaat[[#This Row],[uren / jaar weekend]]*Tariefsopbouw!$D$40</f>
        <v>0</v>
      </c>
      <c r="AE196" s="86">
        <f>Ruimtestaat[[#This Row],[Prest. (m2 /jaar) weekend]]+Ruimtestaat[[#This Row],[Prest. (m2 /jaar) werkdagen]]</f>
        <v>0</v>
      </c>
      <c r="AF196" s="86">
        <f>Ruimtestaat[[#This Row],[uren / jaar weekend]]+Ruimtestaat[[#This Row],[uren / jaar werkdagen]]</f>
        <v>0</v>
      </c>
      <c r="AG196" s="87">
        <f>Ruimtestaat[[#This Row],[kosten / jaar weekend]]+Ruimtestaat[[#This Row],[kosten / jaar werkdagen]]</f>
        <v>0</v>
      </c>
    </row>
    <row r="197" spans="1:33" ht="15" customHeight="1">
      <c r="A197" s="246">
        <v>2</v>
      </c>
      <c r="B197" s="21" t="str">
        <f>VLOOKUP(Ruimtestaat[[#This Row],[Code]],Locaties[#All],2,FALSE)</f>
        <v>Losser</v>
      </c>
      <c r="C197" s="247" t="str">
        <f>VLOOKUP(Ruimtestaat[[#This Row],[Code]],Locaties[#All],4,FALSE)</f>
        <v>Oranjestraat 2</v>
      </c>
      <c r="D197" s="247" t="str">
        <f>VLOOKUP(Ruimtestaat[[#This Row],[Code]],Locaties[#All],5,FALSE)</f>
        <v>7607 BJ </v>
      </c>
      <c r="E197" s="187" t="str">
        <f>VLOOKUP(Ruimtestaat[[#This Row],[Code]],Locaties[#All],6,FALSE)</f>
        <v>Losser</v>
      </c>
      <c r="F197" s="248"/>
      <c r="G197" s="246" t="s">
        <v>679</v>
      </c>
      <c r="H197" s="246" t="s">
        <v>587</v>
      </c>
      <c r="I197" s="248" t="s">
        <v>523</v>
      </c>
      <c r="J197" s="187">
        <v>1</v>
      </c>
      <c r="K197" s="187" t="str">
        <f>VLOOKUP(Ruimtestaat[[#This Row],[Ruimte code]],Ruimtegroepen[#All],2,FALSE)</f>
        <v>Magazijnen/bergingen</v>
      </c>
      <c r="L197" s="187" t="s">
        <v>109</v>
      </c>
      <c r="M197" s="249" t="s">
        <v>1203</v>
      </c>
      <c r="N197" s="200">
        <v>25.2</v>
      </c>
      <c r="O197" s="190"/>
      <c r="P197" s="231" t="str">
        <f>VLOOKUP(Ruimtestaat[[#This Row],[Ruimte code]],Ruimtegroepen[#All],4,FALSE)</f>
        <v>V  (Verkeersruimte)</v>
      </c>
      <c r="Q197" s="201"/>
      <c r="R197" s="202">
        <v>42</v>
      </c>
      <c r="S197" s="202" t="s">
        <v>15</v>
      </c>
      <c r="T197" s="202">
        <f>IF(R197&gt;0,IF(RIGHT(Ruimtestaat[[#This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197" s="202">
        <f>IF(T197&gt;0,VLOOKUP($J197,Ruimtegroepen[],3,FALSE)*VLOOKUP($L197,Vloersoorten[],3,FALSE)*VLOOKUP($S197,Frequenties[],3,FALSE)*VLOOKUP($A197,Locaties[],3,FALSE),0)</f>
        <v>0</v>
      </c>
      <c r="V197" s="202">
        <f>Ruimtestaat[[#This Row],[Uitvoeringen werkdagen]]*Ruimtestaat[[#This Row],[Oppervlak (netto)]]</f>
        <v>1058.3999999999999</v>
      </c>
      <c r="W197" s="242">
        <f>IF(U197&gt;0,Ruimtestaat[[#This Row],[Prest. (m2 /jaar) werkdagen]]/Ruimtestaat[[#This Row],[Norm (m2/uur) werkdagen]],0)</f>
        <v>0</v>
      </c>
      <c r="X197" s="243">
        <f>Ruimtestaat[[#This Row],[uren / jaar werkdagen]]*Tariefsopbouw!$D$38</f>
        <v>0</v>
      </c>
      <c r="Y197" s="33"/>
      <c r="Z197" s="33">
        <f>IF(Ruimtestaat[[#This Row],[Frequentie weekend]]&gt;0,VALUE(LEFT(Y197,1))*R197,0)</f>
        <v>0</v>
      </c>
      <c r="AA197" s="33">
        <f>IF($Z197&gt;0,VLOOKUP($J197,Ruimtegroepen[],3,FALSE)*VLOOKUP($L197,Vloersoorten[],3,FALSE)*VLOOKUP($Y197,Frequenties[],3,FALSE)*VLOOKUP(#REF!,Locaties[],3,FALSE),0)</f>
        <v>0</v>
      </c>
      <c r="AB197" s="33"/>
      <c r="AC197" s="33"/>
      <c r="AD197" s="33">
        <f>Ruimtestaat[[#This Row],[uren / jaar weekend]]*Tariefsopbouw!$D$40</f>
        <v>0</v>
      </c>
      <c r="AE197" s="86">
        <f>Ruimtestaat[[#This Row],[Prest. (m2 /jaar) weekend]]+Ruimtestaat[[#This Row],[Prest. (m2 /jaar) werkdagen]]</f>
        <v>1058.3999999999999</v>
      </c>
      <c r="AF197" s="86">
        <f>Ruimtestaat[[#This Row],[uren / jaar weekend]]+Ruimtestaat[[#This Row],[uren / jaar werkdagen]]</f>
        <v>0</v>
      </c>
      <c r="AG197" s="87">
        <f>Ruimtestaat[[#This Row],[kosten / jaar weekend]]+Ruimtestaat[[#This Row],[kosten / jaar werkdagen]]</f>
        <v>0</v>
      </c>
    </row>
    <row r="198" spans="1:33" ht="15" customHeight="1">
      <c r="A198" s="246">
        <v>2</v>
      </c>
      <c r="B198" s="21" t="str">
        <f>VLOOKUP(Ruimtestaat[[#This Row],[Code]],Locaties[#All],2,FALSE)</f>
        <v>Losser</v>
      </c>
      <c r="C198" s="247" t="str">
        <f>VLOOKUP(Ruimtestaat[[#This Row],[Code]],Locaties[#All],4,FALSE)</f>
        <v>Oranjestraat 2</v>
      </c>
      <c r="D198" s="247" t="str">
        <f>VLOOKUP(Ruimtestaat[[#This Row],[Code]],Locaties[#All],5,FALSE)</f>
        <v>7607 BJ </v>
      </c>
      <c r="E198" s="187" t="str">
        <f>VLOOKUP(Ruimtestaat[[#This Row],[Code]],Locaties[#All],6,FALSE)</f>
        <v>Losser</v>
      </c>
      <c r="F198" s="248"/>
      <c r="G198" s="246" t="s">
        <v>679</v>
      </c>
      <c r="H198" s="246" t="s">
        <v>504</v>
      </c>
      <c r="I198" s="248" t="s">
        <v>1178</v>
      </c>
      <c r="J198" s="187">
        <v>14</v>
      </c>
      <c r="K198" s="187" t="str">
        <f>VLOOKUP(Ruimtestaat[[#This Row],[Ruimte code]],Ruimtegroepen[#All],2,FALSE)</f>
        <v>Praktijklokalen/kabinet</v>
      </c>
      <c r="L198" s="187" t="s">
        <v>109</v>
      </c>
      <c r="M198" s="249" t="s">
        <v>1203</v>
      </c>
      <c r="N198" s="200">
        <v>25.6</v>
      </c>
      <c r="O198" s="190"/>
      <c r="P198" s="231" t="str">
        <f>VLOOKUP(Ruimtestaat[[#This Row],[Ruimte code]],Ruimtegroepen[#All],4,FALSE)</f>
        <v>L  (Lesruimte)</v>
      </c>
      <c r="Q198" s="201"/>
      <c r="R198" s="202">
        <v>42</v>
      </c>
      <c r="S198" s="202" t="s">
        <v>2</v>
      </c>
      <c r="T198" s="202">
        <f>IF(R198&gt;0,IF(RIGHT(Ruimtestaat[[#This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98" s="202">
        <f>IF(T198&gt;0,VLOOKUP($J198,Ruimtegroepen[],3,FALSE)*VLOOKUP($L198,Vloersoorten[],3,FALSE)*VLOOKUP($S198,Frequenties[],3,FALSE)*VLOOKUP($A198,Locaties[],3,FALSE),0)</f>
        <v>0</v>
      </c>
      <c r="V198" s="202">
        <f>Ruimtestaat[[#This Row],[Uitvoeringen werkdagen]]*Ruimtestaat[[#This Row],[Oppervlak (netto)]]</f>
        <v>5376</v>
      </c>
      <c r="W198" s="242">
        <f>IF(U198&gt;0,Ruimtestaat[[#This Row],[Prest. (m2 /jaar) werkdagen]]/Ruimtestaat[[#This Row],[Norm (m2/uur) werkdagen]],0)</f>
        <v>0</v>
      </c>
      <c r="X198" s="243">
        <f>Ruimtestaat[[#This Row],[uren / jaar werkdagen]]*Tariefsopbouw!$D$38</f>
        <v>0</v>
      </c>
      <c r="Y198" s="33"/>
      <c r="Z198" s="33">
        <f>IF(Ruimtestaat[[#This Row],[Frequentie weekend]]&gt;0,VALUE(LEFT(Y198,1))*R198,0)</f>
        <v>0</v>
      </c>
      <c r="AA198" s="33">
        <f>IF($Z198&gt;0,VLOOKUP($J198,Ruimtegroepen[],3,FALSE)*VLOOKUP($L198,Vloersoorten[],3,FALSE)*VLOOKUP($Y198,Frequenties[],3,FALSE)*VLOOKUP(#REF!,Locaties[],3,FALSE),0)</f>
        <v>0</v>
      </c>
      <c r="AB198" s="33"/>
      <c r="AC198" s="33"/>
      <c r="AD198" s="33">
        <f>Ruimtestaat[[#This Row],[uren / jaar weekend]]*Tariefsopbouw!$D$40</f>
        <v>0</v>
      </c>
      <c r="AE198" s="86">
        <f>Ruimtestaat[[#This Row],[Prest. (m2 /jaar) weekend]]+Ruimtestaat[[#This Row],[Prest. (m2 /jaar) werkdagen]]</f>
        <v>5376</v>
      </c>
      <c r="AF198" s="86">
        <f>Ruimtestaat[[#This Row],[uren / jaar weekend]]+Ruimtestaat[[#This Row],[uren / jaar werkdagen]]</f>
        <v>0</v>
      </c>
      <c r="AG198" s="87">
        <f>Ruimtestaat[[#This Row],[kosten / jaar weekend]]+Ruimtestaat[[#This Row],[kosten / jaar werkdagen]]</f>
        <v>0</v>
      </c>
    </row>
    <row r="199" spans="1:33" ht="15" customHeight="1">
      <c r="A199" s="246">
        <v>2</v>
      </c>
      <c r="B199" s="21" t="str">
        <f>VLOOKUP(Ruimtestaat[[#This Row],[Code]],Locaties[#All],2,FALSE)</f>
        <v>Losser</v>
      </c>
      <c r="C199" s="247" t="str">
        <f>VLOOKUP(Ruimtestaat[[#This Row],[Code]],Locaties[#All],4,FALSE)</f>
        <v>Oranjestraat 2</v>
      </c>
      <c r="D199" s="247" t="str">
        <f>VLOOKUP(Ruimtestaat[[#This Row],[Code]],Locaties[#All],5,FALSE)</f>
        <v>7607 BJ </v>
      </c>
      <c r="E199" s="187" t="str">
        <f>VLOOKUP(Ruimtestaat[[#This Row],[Code]],Locaties[#All],6,FALSE)</f>
        <v>Losser</v>
      </c>
      <c r="F199" s="248"/>
      <c r="G199" s="246" t="s">
        <v>679</v>
      </c>
      <c r="H199" s="246" t="s">
        <v>503</v>
      </c>
      <c r="I199" s="248" t="s">
        <v>1179</v>
      </c>
      <c r="J199" s="187">
        <v>14</v>
      </c>
      <c r="K199" s="187" t="str">
        <f>VLOOKUP(Ruimtestaat[[#This Row],[Ruimte code]],Ruimtegroepen[#All],2,FALSE)</f>
        <v>Praktijklokalen/kabinet</v>
      </c>
      <c r="L199" s="187" t="s">
        <v>109</v>
      </c>
      <c r="M199" s="249" t="s">
        <v>1203</v>
      </c>
      <c r="N199" s="200">
        <v>54.2</v>
      </c>
      <c r="O199" s="190"/>
      <c r="P199" s="231" t="str">
        <f>VLOOKUP(Ruimtestaat[[#This Row],[Ruimte code]],Ruimtegroepen[#All],4,FALSE)</f>
        <v>L  (Lesruimte)</v>
      </c>
      <c r="Q199" s="201"/>
      <c r="R199" s="202">
        <v>42</v>
      </c>
      <c r="S199" s="202" t="s">
        <v>2</v>
      </c>
      <c r="T199" s="202">
        <f>IF(R199&gt;0,IF(RIGHT(Ruimtestaat[[#This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199" s="202">
        <f>IF(T199&gt;0,VLOOKUP($J199,Ruimtegroepen[],3,FALSE)*VLOOKUP($L199,Vloersoorten[],3,FALSE)*VLOOKUP($S199,Frequenties[],3,FALSE)*VLOOKUP($A199,Locaties[],3,FALSE),0)</f>
        <v>0</v>
      </c>
      <c r="V199" s="202">
        <f>Ruimtestaat[[#This Row],[Uitvoeringen werkdagen]]*Ruimtestaat[[#This Row],[Oppervlak (netto)]]</f>
        <v>11382</v>
      </c>
      <c r="W199" s="242">
        <f>IF(U199&gt;0,Ruimtestaat[[#This Row],[Prest. (m2 /jaar) werkdagen]]/Ruimtestaat[[#This Row],[Norm (m2/uur) werkdagen]],0)</f>
        <v>0</v>
      </c>
      <c r="X199" s="243">
        <f>Ruimtestaat[[#This Row],[uren / jaar werkdagen]]*Tariefsopbouw!$D$38</f>
        <v>0</v>
      </c>
      <c r="Y199" s="33"/>
      <c r="Z199" s="33">
        <f>IF(Ruimtestaat[[#This Row],[Frequentie weekend]]&gt;0,VALUE(LEFT(Y199,1))*R199,0)</f>
        <v>0</v>
      </c>
      <c r="AA199" s="33">
        <f>IF($Z199&gt;0,VLOOKUP($J199,Ruimtegroepen[],3,FALSE)*VLOOKUP($L199,Vloersoorten[],3,FALSE)*VLOOKUP($Y199,Frequenties[],3,FALSE)*VLOOKUP(#REF!,Locaties[],3,FALSE),0)</f>
        <v>0</v>
      </c>
      <c r="AB199" s="33"/>
      <c r="AC199" s="33"/>
      <c r="AD199" s="33">
        <f>Ruimtestaat[[#This Row],[uren / jaar weekend]]*Tariefsopbouw!$D$40</f>
        <v>0</v>
      </c>
      <c r="AE199" s="86">
        <f>Ruimtestaat[[#This Row],[Prest. (m2 /jaar) weekend]]+Ruimtestaat[[#This Row],[Prest. (m2 /jaar) werkdagen]]</f>
        <v>11382</v>
      </c>
      <c r="AF199" s="86">
        <f>Ruimtestaat[[#This Row],[uren / jaar weekend]]+Ruimtestaat[[#This Row],[uren / jaar werkdagen]]</f>
        <v>0</v>
      </c>
      <c r="AG199" s="87">
        <f>Ruimtestaat[[#This Row],[kosten / jaar weekend]]+Ruimtestaat[[#This Row],[kosten / jaar werkdagen]]</f>
        <v>0</v>
      </c>
    </row>
    <row r="200" spans="1:33" ht="15" customHeight="1">
      <c r="A200" s="246">
        <v>2</v>
      </c>
      <c r="B200" s="21" t="str">
        <f>VLOOKUP(Ruimtestaat[[#This Row],[Code]],Locaties[#All],2,FALSE)</f>
        <v>Losser</v>
      </c>
      <c r="C200" s="247" t="str">
        <f>VLOOKUP(Ruimtestaat[[#This Row],[Code]],Locaties[#All],4,FALSE)</f>
        <v>Oranjestraat 2</v>
      </c>
      <c r="D200" s="247" t="str">
        <f>VLOOKUP(Ruimtestaat[[#This Row],[Code]],Locaties[#All],5,FALSE)</f>
        <v>7607 BJ </v>
      </c>
      <c r="E200" s="187" t="str">
        <f>VLOOKUP(Ruimtestaat[[#This Row],[Code]],Locaties[#All],6,FALSE)</f>
        <v>Losser</v>
      </c>
      <c r="F200" s="248"/>
      <c r="G200" s="246">
        <v>1</v>
      </c>
      <c r="H200" s="246" t="s">
        <v>462</v>
      </c>
      <c r="I200" s="248" t="s">
        <v>501</v>
      </c>
      <c r="J200" s="187">
        <v>16</v>
      </c>
      <c r="K200" s="187" t="str">
        <f>VLOOKUP(Ruimtestaat[[#This Row],[Ruimte code]],Ruimtegroepen[#All],2,FALSE)</f>
        <v>Leslokalen/computerlokaal</v>
      </c>
      <c r="L200" s="187" t="s">
        <v>109</v>
      </c>
      <c r="M200" s="249" t="s">
        <v>1203</v>
      </c>
      <c r="N200" s="200">
        <v>53.7</v>
      </c>
      <c r="O200" s="190"/>
      <c r="P200" s="231" t="str">
        <f>VLOOKUP(Ruimtestaat[[#This Row],[Ruimte code]],Ruimtegroepen[#All],4,FALSE)</f>
        <v>L  (Lesruimte)</v>
      </c>
      <c r="Q200" s="201"/>
      <c r="R200" s="202">
        <v>42</v>
      </c>
      <c r="S200" s="202" t="s">
        <v>2</v>
      </c>
      <c r="T200" s="202">
        <f>IF(R200&gt;0,IF(RIGHT(Ruimtestaat[[#This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00" s="202">
        <f>IF(T200&gt;0,VLOOKUP($J200,Ruimtegroepen[],3,FALSE)*VLOOKUP($L200,Vloersoorten[],3,FALSE)*VLOOKUP($S200,Frequenties[],3,FALSE)*VLOOKUP($A200,Locaties[],3,FALSE),0)</f>
        <v>0</v>
      </c>
      <c r="V200" s="202">
        <f>Ruimtestaat[[#This Row],[Uitvoeringen werkdagen]]*Ruimtestaat[[#This Row],[Oppervlak (netto)]]</f>
        <v>11277</v>
      </c>
      <c r="W200" s="242">
        <f>IF(U200&gt;0,Ruimtestaat[[#This Row],[Prest. (m2 /jaar) werkdagen]]/Ruimtestaat[[#This Row],[Norm (m2/uur) werkdagen]],0)</f>
        <v>0</v>
      </c>
      <c r="X200" s="243">
        <f>Ruimtestaat[[#This Row],[uren / jaar werkdagen]]*Tariefsopbouw!$D$38</f>
        <v>0</v>
      </c>
      <c r="Y200" s="33"/>
      <c r="Z200" s="33">
        <f>IF(Ruimtestaat[[#This Row],[Frequentie weekend]]&gt;0,VALUE(LEFT(Y200,1))*R200,0)</f>
        <v>0</v>
      </c>
      <c r="AA200" s="33">
        <f>IF($Z200&gt;0,VLOOKUP($J200,Ruimtegroepen[],3,FALSE)*VLOOKUP($L200,Vloersoorten[],3,FALSE)*VLOOKUP($Y200,Frequenties[],3,FALSE)*VLOOKUP(#REF!,Locaties[],3,FALSE),0)</f>
        <v>0</v>
      </c>
      <c r="AB200" s="33"/>
      <c r="AC200" s="33"/>
      <c r="AD200" s="33">
        <f>Ruimtestaat[[#This Row],[uren / jaar weekend]]*Tariefsopbouw!$D$40</f>
        <v>0</v>
      </c>
      <c r="AE200" s="86">
        <f>Ruimtestaat[[#This Row],[Prest. (m2 /jaar) weekend]]+Ruimtestaat[[#This Row],[Prest. (m2 /jaar) werkdagen]]</f>
        <v>11277</v>
      </c>
      <c r="AF200" s="86">
        <f>Ruimtestaat[[#This Row],[uren / jaar weekend]]+Ruimtestaat[[#This Row],[uren / jaar werkdagen]]</f>
        <v>0</v>
      </c>
      <c r="AG200" s="87">
        <f>Ruimtestaat[[#This Row],[kosten / jaar weekend]]+Ruimtestaat[[#This Row],[kosten / jaar werkdagen]]</f>
        <v>0</v>
      </c>
    </row>
    <row r="201" spans="1:33" ht="15" customHeight="1">
      <c r="A201" s="246">
        <v>2</v>
      </c>
      <c r="B201" s="21" t="str">
        <f>VLOOKUP(Ruimtestaat[[#This Row],[Code]],Locaties[#All],2,FALSE)</f>
        <v>Losser</v>
      </c>
      <c r="C201" s="247" t="str">
        <f>VLOOKUP(Ruimtestaat[[#This Row],[Code]],Locaties[#All],4,FALSE)</f>
        <v>Oranjestraat 2</v>
      </c>
      <c r="D201" s="247" t="str">
        <f>VLOOKUP(Ruimtestaat[[#This Row],[Code]],Locaties[#All],5,FALSE)</f>
        <v>7607 BJ </v>
      </c>
      <c r="E201" s="187" t="str">
        <f>VLOOKUP(Ruimtestaat[[#This Row],[Code]],Locaties[#All],6,FALSE)</f>
        <v>Losser</v>
      </c>
      <c r="F201" s="248"/>
      <c r="G201" s="246">
        <v>1</v>
      </c>
      <c r="H201" s="246" t="s">
        <v>463</v>
      </c>
      <c r="I201" s="248" t="s">
        <v>501</v>
      </c>
      <c r="J201" s="187">
        <v>16</v>
      </c>
      <c r="K201" s="187" t="str">
        <f>VLOOKUP(Ruimtestaat[[#This Row],[Ruimte code]],Ruimtegroepen[#All],2,FALSE)</f>
        <v>Leslokalen/computerlokaal</v>
      </c>
      <c r="L201" s="187" t="s">
        <v>109</v>
      </c>
      <c r="M201" s="249" t="s">
        <v>1203</v>
      </c>
      <c r="N201" s="200">
        <v>47.2</v>
      </c>
      <c r="O201" s="190"/>
      <c r="P201" s="231" t="str">
        <f>VLOOKUP(Ruimtestaat[[#This Row],[Ruimte code]],Ruimtegroepen[#All],4,FALSE)</f>
        <v>L  (Lesruimte)</v>
      </c>
      <c r="Q201" s="201"/>
      <c r="R201" s="202">
        <v>42</v>
      </c>
      <c r="S201" s="202" t="s">
        <v>2</v>
      </c>
      <c r="T201" s="202">
        <f>IF(R201&gt;0,IF(RIGHT(Ruimtestaat[[#This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01" s="202">
        <f>IF(T201&gt;0,VLOOKUP($J201,Ruimtegroepen[],3,FALSE)*VLOOKUP($L201,Vloersoorten[],3,FALSE)*VLOOKUP($S201,Frequenties[],3,FALSE)*VLOOKUP($A201,Locaties[],3,FALSE),0)</f>
        <v>0</v>
      </c>
      <c r="V201" s="202">
        <f>Ruimtestaat[[#This Row],[Uitvoeringen werkdagen]]*Ruimtestaat[[#This Row],[Oppervlak (netto)]]</f>
        <v>9912</v>
      </c>
      <c r="W201" s="242">
        <f>IF(U201&gt;0,Ruimtestaat[[#This Row],[Prest. (m2 /jaar) werkdagen]]/Ruimtestaat[[#This Row],[Norm (m2/uur) werkdagen]],0)</f>
        <v>0</v>
      </c>
      <c r="X201" s="243">
        <f>Ruimtestaat[[#This Row],[uren / jaar werkdagen]]*Tariefsopbouw!$D$38</f>
        <v>0</v>
      </c>
      <c r="Y201" s="33"/>
      <c r="Z201" s="33">
        <f>IF(Ruimtestaat[[#This Row],[Frequentie weekend]]&gt;0,VALUE(LEFT(Y201,1))*R201,0)</f>
        <v>0</v>
      </c>
      <c r="AA201" s="33">
        <f>IF($Z201&gt;0,VLOOKUP($J201,Ruimtegroepen[],3,FALSE)*VLOOKUP($L201,Vloersoorten[],3,FALSE)*VLOOKUP($Y201,Frequenties[],3,FALSE)*VLOOKUP(#REF!,Locaties[],3,FALSE),0)</f>
        <v>0</v>
      </c>
      <c r="AB201" s="33"/>
      <c r="AC201" s="33"/>
      <c r="AD201" s="33">
        <f>Ruimtestaat[[#This Row],[uren / jaar weekend]]*Tariefsopbouw!$D$40</f>
        <v>0</v>
      </c>
      <c r="AE201" s="86">
        <f>Ruimtestaat[[#This Row],[Prest. (m2 /jaar) weekend]]+Ruimtestaat[[#This Row],[Prest. (m2 /jaar) werkdagen]]</f>
        <v>9912</v>
      </c>
      <c r="AF201" s="86">
        <f>Ruimtestaat[[#This Row],[uren / jaar weekend]]+Ruimtestaat[[#This Row],[uren / jaar werkdagen]]</f>
        <v>0</v>
      </c>
      <c r="AG201" s="87">
        <f>Ruimtestaat[[#This Row],[kosten / jaar weekend]]+Ruimtestaat[[#This Row],[kosten / jaar werkdagen]]</f>
        <v>0</v>
      </c>
    </row>
    <row r="202" spans="1:33" ht="15" customHeight="1">
      <c r="A202" s="246">
        <v>2</v>
      </c>
      <c r="B202" s="21" t="str">
        <f>VLOOKUP(Ruimtestaat[[#This Row],[Code]],Locaties[#All],2,FALSE)</f>
        <v>Losser</v>
      </c>
      <c r="C202" s="247" t="str">
        <f>VLOOKUP(Ruimtestaat[[#This Row],[Code]],Locaties[#All],4,FALSE)</f>
        <v>Oranjestraat 2</v>
      </c>
      <c r="D202" s="247" t="str">
        <f>VLOOKUP(Ruimtestaat[[#This Row],[Code]],Locaties[#All],5,FALSE)</f>
        <v>7607 BJ </v>
      </c>
      <c r="E202" s="187" t="str">
        <f>VLOOKUP(Ruimtestaat[[#This Row],[Code]],Locaties[#All],6,FALSE)</f>
        <v>Losser</v>
      </c>
      <c r="F202" s="248"/>
      <c r="G202" s="246">
        <v>1</v>
      </c>
      <c r="H202" s="246" t="s">
        <v>464</v>
      </c>
      <c r="I202" s="248" t="s">
        <v>501</v>
      </c>
      <c r="J202" s="187">
        <v>16</v>
      </c>
      <c r="K202" s="187" t="str">
        <f>VLOOKUP(Ruimtestaat[[#This Row],[Ruimte code]],Ruimtegroepen[#All],2,FALSE)</f>
        <v>Leslokalen/computerlokaal</v>
      </c>
      <c r="L202" s="187" t="s">
        <v>109</v>
      </c>
      <c r="M202" s="249" t="s">
        <v>1203</v>
      </c>
      <c r="N202" s="200">
        <v>47.2</v>
      </c>
      <c r="O202" s="190"/>
      <c r="P202" s="231" t="str">
        <f>VLOOKUP(Ruimtestaat[[#This Row],[Ruimte code]],Ruimtegroepen[#All],4,FALSE)</f>
        <v>L  (Lesruimte)</v>
      </c>
      <c r="Q202" s="201"/>
      <c r="R202" s="202">
        <v>42</v>
      </c>
      <c r="S202" s="202" t="s">
        <v>2</v>
      </c>
      <c r="T202" s="202">
        <f>IF(R202&gt;0,IF(RIGHT(Ruimtestaat[[#This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02" s="202">
        <f>IF(T202&gt;0,VLOOKUP($J202,Ruimtegroepen[],3,FALSE)*VLOOKUP($L202,Vloersoorten[],3,FALSE)*VLOOKUP($S202,Frequenties[],3,FALSE)*VLOOKUP($A202,Locaties[],3,FALSE),0)</f>
        <v>0</v>
      </c>
      <c r="V202" s="202">
        <f>Ruimtestaat[[#This Row],[Uitvoeringen werkdagen]]*Ruimtestaat[[#This Row],[Oppervlak (netto)]]</f>
        <v>9912</v>
      </c>
      <c r="W202" s="242">
        <f>IF(U202&gt;0,Ruimtestaat[[#This Row],[Prest. (m2 /jaar) werkdagen]]/Ruimtestaat[[#This Row],[Norm (m2/uur) werkdagen]],0)</f>
        <v>0</v>
      </c>
      <c r="X202" s="243">
        <f>Ruimtestaat[[#This Row],[uren / jaar werkdagen]]*Tariefsopbouw!$D$38</f>
        <v>0</v>
      </c>
      <c r="Y202" s="33"/>
      <c r="Z202" s="33">
        <f>IF(Ruimtestaat[[#This Row],[Frequentie weekend]]&gt;0,VALUE(LEFT(Y202,1))*R202,0)</f>
        <v>0</v>
      </c>
      <c r="AA202" s="33">
        <f>IF($Z202&gt;0,VLOOKUP($J202,Ruimtegroepen[],3,FALSE)*VLOOKUP($L202,Vloersoorten[],3,FALSE)*VLOOKUP($Y202,Frequenties[],3,FALSE)*VLOOKUP(#REF!,Locaties[],3,FALSE),0)</f>
        <v>0</v>
      </c>
      <c r="AB202" s="33"/>
      <c r="AC202" s="33"/>
      <c r="AD202" s="33">
        <f>Ruimtestaat[[#This Row],[uren / jaar weekend]]*Tariefsopbouw!$D$40</f>
        <v>0</v>
      </c>
      <c r="AE202" s="86">
        <f>Ruimtestaat[[#This Row],[Prest. (m2 /jaar) weekend]]+Ruimtestaat[[#This Row],[Prest. (m2 /jaar) werkdagen]]</f>
        <v>9912</v>
      </c>
      <c r="AF202" s="86">
        <f>Ruimtestaat[[#This Row],[uren / jaar weekend]]+Ruimtestaat[[#This Row],[uren / jaar werkdagen]]</f>
        <v>0</v>
      </c>
      <c r="AG202" s="87">
        <f>Ruimtestaat[[#This Row],[kosten / jaar weekend]]+Ruimtestaat[[#This Row],[kosten / jaar werkdagen]]</f>
        <v>0</v>
      </c>
    </row>
    <row r="203" spans="1:33" ht="15" customHeight="1">
      <c r="A203" s="246">
        <v>2</v>
      </c>
      <c r="B203" s="21" t="str">
        <f>VLOOKUP(Ruimtestaat[[#This Row],[Code]],Locaties[#All],2,FALSE)</f>
        <v>Losser</v>
      </c>
      <c r="C203" s="247" t="str">
        <f>VLOOKUP(Ruimtestaat[[#This Row],[Code]],Locaties[#All],4,FALSE)</f>
        <v>Oranjestraat 2</v>
      </c>
      <c r="D203" s="247" t="str">
        <f>VLOOKUP(Ruimtestaat[[#This Row],[Code]],Locaties[#All],5,FALSE)</f>
        <v>7607 BJ </v>
      </c>
      <c r="E203" s="187" t="str">
        <f>VLOOKUP(Ruimtestaat[[#This Row],[Code]],Locaties[#All],6,FALSE)</f>
        <v>Losser</v>
      </c>
      <c r="F203" s="248"/>
      <c r="G203" s="246">
        <v>1</v>
      </c>
      <c r="H203" s="246" t="s">
        <v>466</v>
      </c>
      <c r="I203" s="248" t="s">
        <v>501</v>
      </c>
      <c r="J203" s="187">
        <v>6</v>
      </c>
      <c r="K203" s="187" t="str">
        <f>VLOOKUP(Ruimtestaat[[#This Row],[Ruimte code]],Ruimtegroepen[#All],2,FALSE)</f>
        <v>Gangen/hallen</v>
      </c>
      <c r="L203" s="187" t="s">
        <v>109</v>
      </c>
      <c r="M203" s="249" t="s">
        <v>1203</v>
      </c>
      <c r="N203" s="200">
        <v>47.8</v>
      </c>
      <c r="O203" s="190"/>
      <c r="P203" s="231" t="str">
        <f>VLOOKUP(Ruimtestaat[[#This Row],[Ruimte code]],Ruimtegroepen[#All],4,FALSE)</f>
        <v>V  (Verkeersruimte)</v>
      </c>
      <c r="Q203" s="201"/>
      <c r="R203" s="202">
        <v>42</v>
      </c>
      <c r="S203" s="202" t="s">
        <v>2</v>
      </c>
      <c r="T203" s="202">
        <f>IF(R203&gt;0,IF(RIGHT(Ruimtestaat[[#This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03" s="202">
        <f>IF(T203&gt;0,VLOOKUP($J203,Ruimtegroepen[],3,FALSE)*VLOOKUP($L203,Vloersoorten[],3,FALSE)*VLOOKUP($S203,Frequenties[],3,FALSE)*VLOOKUP($A203,Locaties[],3,FALSE),0)</f>
        <v>0</v>
      </c>
      <c r="V203" s="202">
        <f>Ruimtestaat[[#This Row],[Uitvoeringen werkdagen]]*Ruimtestaat[[#This Row],[Oppervlak (netto)]]</f>
        <v>10038</v>
      </c>
      <c r="W203" s="242">
        <f>IF(U203&gt;0,Ruimtestaat[[#This Row],[Prest. (m2 /jaar) werkdagen]]/Ruimtestaat[[#This Row],[Norm (m2/uur) werkdagen]],0)</f>
        <v>0</v>
      </c>
      <c r="X203" s="243">
        <f>Ruimtestaat[[#This Row],[uren / jaar werkdagen]]*Tariefsopbouw!$D$38</f>
        <v>0</v>
      </c>
      <c r="Y203" s="33"/>
      <c r="Z203" s="33">
        <f>IF(Ruimtestaat[[#This Row],[Frequentie weekend]]&gt;0,VALUE(LEFT(Y203,1))*R203,0)</f>
        <v>0</v>
      </c>
      <c r="AA203" s="33">
        <f>IF($Z203&gt;0,VLOOKUP($J203,Ruimtegroepen[],3,FALSE)*VLOOKUP($L203,Vloersoorten[],3,FALSE)*VLOOKUP($Y203,Frequenties[],3,FALSE)*VLOOKUP(#REF!,Locaties[],3,FALSE),0)</f>
        <v>0</v>
      </c>
      <c r="AB203" s="33"/>
      <c r="AC203" s="33"/>
      <c r="AD203" s="33">
        <f>Ruimtestaat[[#This Row],[uren / jaar weekend]]*Tariefsopbouw!$D$40</f>
        <v>0</v>
      </c>
      <c r="AE203" s="86">
        <f>Ruimtestaat[[#This Row],[Prest. (m2 /jaar) weekend]]+Ruimtestaat[[#This Row],[Prest. (m2 /jaar) werkdagen]]</f>
        <v>10038</v>
      </c>
      <c r="AF203" s="86">
        <f>Ruimtestaat[[#This Row],[uren / jaar weekend]]+Ruimtestaat[[#This Row],[uren / jaar werkdagen]]</f>
        <v>0</v>
      </c>
      <c r="AG203" s="87">
        <f>Ruimtestaat[[#This Row],[kosten / jaar weekend]]+Ruimtestaat[[#This Row],[kosten / jaar werkdagen]]</f>
        <v>0</v>
      </c>
    </row>
    <row r="204" spans="1:33" ht="15" customHeight="1">
      <c r="A204" s="246">
        <v>2</v>
      </c>
      <c r="B204" s="21" t="str">
        <f>VLOOKUP(Ruimtestaat[[#This Row],[Code]],Locaties[#All],2,FALSE)</f>
        <v>Losser</v>
      </c>
      <c r="C204" s="247" t="str">
        <f>VLOOKUP(Ruimtestaat[[#This Row],[Code]],Locaties[#All],4,FALSE)</f>
        <v>Oranjestraat 2</v>
      </c>
      <c r="D204" s="247" t="str">
        <f>VLOOKUP(Ruimtestaat[[#This Row],[Code]],Locaties[#All],5,FALSE)</f>
        <v>7607 BJ </v>
      </c>
      <c r="E204" s="187" t="str">
        <f>VLOOKUP(Ruimtestaat[[#This Row],[Code]],Locaties[#All],6,FALSE)</f>
        <v>Losser</v>
      </c>
      <c r="F204" s="248"/>
      <c r="G204" s="246">
        <v>1</v>
      </c>
      <c r="H204" s="246" t="s">
        <v>467</v>
      </c>
      <c r="I204" s="248" t="s">
        <v>501</v>
      </c>
      <c r="J204" s="187">
        <v>6</v>
      </c>
      <c r="K204" s="187" t="str">
        <f>VLOOKUP(Ruimtestaat[[#This Row],[Ruimte code]],Ruimtegroepen[#All],2,FALSE)</f>
        <v>Gangen/hallen</v>
      </c>
      <c r="L204" s="187" t="s">
        <v>109</v>
      </c>
      <c r="M204" s="249" t="s">
        <v>1203</v>
      </c>
      <c r="N204" s="200">
        <v>68</v>
      </c>
      <c r="O204" s="190"/>
      <c r="P204" s="231" t="str">
        <f>VLOOKUP(Ruimtestaat[[#This Row],[Ruimte code]],Ruimtegroepen[#All],4,FALSE)</f>
        <v>V  (Verkeersruimte)</v>
      </c>
      <c r="Q204" s="201"/>
      <c r="R204" s="202">
        <v>42</v>
      </c>
      <c r="S204" s="202" t="s">
        <v>2</v>
      </c>
      <c r="T204" s="202">
        <f>IF(R204&gt;0,IF(RIGHT(Ruimtestaat[[#This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04" s="202">
        <f>IF(T204&gt;0,VLOOKUP($J204,Ruimtegroepen[],3,FALSE)*VLOOKUP($L204,Vloersoorten[],3,FALSE)*VLOOKUP($S204,Frequenties[],3,FALSE)*VLOOKUP($A204,Locaties[],3,FALSE),0)</f>
        <v>0</v>
      </c>
      <c r="V204" s="202">
        <f>Ruimtestaat[[#This Row],[Uitvoeringen werkdagen]]*Ruimtestaat[[#This Row],[Oppervlak (netto)]]</f>
        <v>14280</v>
      </c>
      <c r="W204" s="242">
        <f>IF(U204&gt;0,Ruimtestaat[[#This Row],[Prest. (m2 /jaar) werkdagen]]/Ruimtestaat[[#This Row],[Norm (m2/uur) werkdagen]],0)</f>
        <v>0</v>
      </c>
      <c r="X204" s="243">
        <f>Ruimtestaat[[#This Row],[uren / jaar werkdagen]]*Tariefsopbouw!$D$38</f>
        <v>0</v>
      </c>
      <c r="Y204" s="33"/>
      <c r="Z204" s="33">
        <f>IF(Ruimtestaat[[#This Row],[Frequentie weekend]]&gt;0,VALUE(LEFT(Y204,1))*R204,0)</f>
        <v>0</v>
      </c>
      <c r="AA204" s="33">
        <f>IF($Z204&gt;0,VLOOKUP($J204,Ruimtegroepen[],3,FALSE)*VLOOKUP($L204,Vloersoorten[],3,FALSE)*VLOOKUP($Y204,Frequenties[],3,FALSE)*VLOOKUP(#REF!,Locaties[],3,FALSE),0)</f>
        <v>0</v>
      </c>
      <c r="AB204" s="33"/>
      <c r="AC204" s="33"/>
      <c r="AD204" s="33">
        <f>Ruimtestaat[[#This Row],[uren / jaar weekend]]*Tariefsopbouw!$D$40</f>
        <v>0</v>
      </c>
      <c r="AE204" s="86">
        <f>Ruimtestaat[[#This Row],[Prest. (m2 /jaar) weekend]]+Ruimtestaat[[#This Row],[Prest. (m2 /jaar) werkdagen]]</f>
        <v>14280</v>
      </c>
      <c r="AF204" s="86">
        <f>Ruimtestaat[[#This Row],[uren / jaar weekend]]+Ruimtestaat[[#This Row],[uren / jaar werkdagen]]</f>
        <v>0</v>
      </c>
      <c r="AG204" s="87">
        <f>Ruimtestaat[[#This Row],[kosten / jaar weekend]]+Ruimtestaat[[#This Row],[kosten / jaar werkdagen]]</f>
        <v>0</v>
      </c>
    </row>
    <row r="205" spans="1:33" ht="15" customHeight="1">
      <c r="A205" s="246">
        <v>2</v>
      </c>
      <c r="B205" s="21" t="str">
        <f>VLOOKUP(Ruimtestaat[[#This Row],[Code]],Locaties[#All],2,FALSE)</f>
        <v>Losser</v>
      </c>
      <c r="C205" s="247" t="str">
        <f>VLOOKUP(Ruimtestaat[[#This Row],[Code]],Locaties[#All],4,FALSE)</f>
        <v>Oranjestraat 2</v>
      </c>
      <c r="D205" s="247" t="str">
        <f>VLOOKUP(Ruimtestaat[[#This Row],[Code]],Locaties[#All],5,FALSE)</f>
        <v>7607 BJ </v>
      </c>
      <c r="E205" s="187" t="str">
        <f>VLOOKUP(Ruimtestaat[[#This Row],[Code]],Locaties[#All],6,FALSE)</f>
        <v>Losser</v>
      </c>
      <c r="F205" s="248"/>
      <c r="G205" s="246">
        <v>1</v>
      </c>
      <c r="H205" s="246" t="s">
        <v>469</v>
      </c>
      <c r="I205" s="248" t="s">
        <v>501</v>
      </c>
      <c r="J205" s="187">
        <v>6</v>
      </c>
      <c r="K205" s="187" t="str">
        <f>VLOOKUP(Ruimtestaat[[#This Row],[Ruimte code]],Ruimtegroepen[#All],2,FALSE)</f>
        <v>Gangen/hallen</v>
      </c>
      <c r="L205" s="187" t="s">
        <v>109</v>
      </c>
      <c r="M205" s="249" t="s">
        <v>1203</v>
      </c>
      <c r="N205" s="200">
        <v>63.6</v>
      </c>
      <c r="O205" s="190"/>
      <c r="P205" s="231" t="str">
        <f>VLOOKUP(Ruimtestaat[[#This Row],[Ruimte code]],Ruimtegroepen[#All],4,FALSE)</f>
        <v>V  (Verkeersruimte)</v>
      </c>
      <c r="Q205" s="201"/>
      <c r="R205" s="202">
        <v>42</v>
      </c>
      <c r="S205" s="202" t="s">
        <v>2</v>
      </c>
      <c r="T205" s="202">
        <f>IF(R205&gt;0,IF(RIGHT(Ruimtestaat[[#This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05" s="202">
        <f>IF(T205&gt;0,VLOOKUP($J205,Ruimtegroepen[],3,FALSE)*VLOOKUP($L205,Vloersoorten[],3,FALSE)*VLOOKUP($S205,Frequenties[],3,FALSE)*VLOOKUP($A205,Locaties[],3,FALSE),0)</f>
        <v>0</v>
      </c>
      <c r="V205" s="202">
        <f>Ruimtestaat[[#This Row],[Uitvoeringen werkdagen]]*Ruimtestaat[[#This Row],[Oppervlak (netto)]]</f>
        <v>13356</v>
      </c>
      <c r="W205" s="242">
        <f>IF(U205&gt;0,Ruimtestaat[[#This Row],[Prest. (m2 /jaar) werkdagen]]/Ruimtestaat[[#This Row],[Norm (m2/uur) werkdagen]],0)</f>
        <v>0</v>
      </c>
      <c r="X205" s="243">
        <f>Ruimtestaat[[#This Row],[uren / jaar werkdagen]]*Tariefsopbouw!$D$38</f>
        <v>0</v>
      </c>
      <c r="Y205" s="33"/>
      <c r="Z205" s="33">
        <f>IF(Ruimtestaat[[#This Row],[Frequentie weekend]]&gt;0,VALUE(LEFT(Y205,1))*R205,0)</f>
        <v>0</v>
      </c>
      <c r="AA205" s="33">
        <f>IF($Z205&gt;0,VLOOKUP($J205,Ruimtegroepen[],3,FALSE)*VLOOKUP($L205,Vloersoorten[],3,FALSE)*VLOOKUP($Y205,Frequenties[],3,FALSE)*VLOOKUP(#REF!,Locaties[],3,FALSE),0)</f>
        <v>0</v>
      </c>
      <c r="AB205" s="33"/>
      <c r="AC205" s="33"/>
      <c r="AD205" s="33">
        <f>Ruimtestaat[[#This Row],[uren / jaar weekend]]*Tariefsopbouw!$D$40</f>
        <v>0</v>
      </c>
      <c r="AE205" s="86">
        <f>Ruimtestaat[[#This Row],[Prest. (m2 /jaar) weekend]]+Ruimtestaat[[#This Row],[Prest. (m2 /jaar) werkdagen]]</f>
        <v>13356</v>
      </c>
      <c r="AF205" s="86">
        <f>Ruimtestaat[[#This Row],[uren / jaar weekend]]+Ruimtestaat[[#This Row],[uren / jaar werkdagen]]</f>
        <v>0</v>
      </c>
      <c r="AG205" s="87">
        <f>Ruimtestaat[[#This Row],[kosten / jaar weekend]]+Ruimtestaat[[#This Row],[kosten / jaar werkdagen]]</f>
        <v>0</v>
      </c>
    </row>
    <row r="206" spans="1:33" ht="15" customHeight="1">
      <c r="A206" s="246">
        <v>2</v>
      </c>
      <c r="B206" s="21" t="str">
        <f>VLOOKUP(Ruimtestaat[[#This Row],[Code]],Locaties[#All],2,FALSE)</f>
        <v>Losser</v>
      </c>
      <c r="C206" s="247" t="str">
        <f>VLOOKUP(Ruimtestaat[[#This Row],[Code]],Locaties[#All],4,FALSE)</f>
        <v>Oranjestraat 2</v>
      </c>
      <c r="D206" s="247" t="str">
        <f>VLOOKUP(Ruimtestaat[[#This Row],[Code]],Locaties[#All],5,FALSE)</f>
        <v>7607 BJ </v>
      </c>
      <c r="E206" s="187" t="str">
        <f>VLOOKUP(Ruimtestaat[[#This Row],[Code]],Locaties[#All],6,FALSE)</f>
        <v>Losser</v>
      </c>
      <c r="F206" s="248"/>
      <c r="G206" s="246">
        <v>1</v>
      </c>
      <c r="H206" s="246" t="s">
        <v>470</v>
      </c>
      <c r="I206" s="248" t="s">
        <v>501</v>
      </c>
      <c r="J206" s="247">
        <v>6</v>
      </c>
      <c r="K206" s="247" t="str">
        <f>VLOOKUP(Ruimtestaat[[#This Row],[Ruimte code]],Ruimtegroepen[#All],2,FALSE)</f>
        <v>Gangen/hallen</v>
      </c>
      <c r="L206" s="187" t="s">
        <v>109</v>
      </c>
      <c r="M206" s="249" t="s">
        <v>1203</v>
      </c>
      <c r="N206" s="200">
        <v>85.7</v>
      </c>
      <c r="O206" s="190"/>
      <c r="P206" s="231" t="str">
        <f>VLOOKUP(Ruimtestaat[[#This Row],[Ruimte code]],Ruimtegroepen[#All],4,FALSE)</f>
        <v>V  (Verkeersruimte)</v>
      </c>
      <c r="Q206" s="201"/>
      <c r="R206" s="202">
        <v>42</v>
      </c>
      <c r="S206" s="202" t="s">
        <v>2</v>
      </c>
      <c r="T206" s="202">
        <f>IF(R206&gt;0,IF(RIGHT(Ruimtestaat[[#This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06" s="202">
        <f>IF(T206&gt;0,VLOOKUP($J206,Ruimtegroepen[],3,FALSE)*VLOOKUP($L206,Vloersoorten[],3,FALSE)*VLOOKUP($S206,Frequenties[],3,FALSE)*VLOOKUP($A206,Locaties[],3,FALSE),0)</f>
        <v>0</v>
      </c>
      <c r="V206" s="202">
        <f>Ruimtestaat[[#This Row],[Uitvoeringen werkdagen]]*Ruimtestaat[[#This Row],[Oppervlak (netto)]]</f>
        <v>17997</v>
      </c>
      <c r="W206" s="242">
        <f>IF(U206&gt;0,Ruimtestaat[[#This Row],[Prest. (m2 /jaar) werkdagen]]/Ruimtestaat[[#This Row],[Norm (m2/uur) werkdagen]],0)</f>
        <v>0</v>
      </c>
      <c r="X206" s="243">
        <f>Ruimtestaat[[#This Row],[uren / jaar werkdagen]]*Tariefsopbouw!$D$38</f>
        <v>0</v>
      </c>
      <c r="Y206" s="33"/>
      <c r="Z206" s="33">
        <f>IF(Ruimtestaat[[#This Row],[Frequentie weekend]]&gt;0,VALUE(LEFT(Y206,1))*R206,0)</f>
        <v>0</v>
      </c>
      <c r="AA206" s="33">
        <f>IF($Z206&gt;0,VLOOKUP($J206,Ruimtegroepen[],3,FALSE)*VLOOKUP($L206,Vloersoorten[],3,FALSE)*VLOOKUP($Y206,Frequenties[],3,FALSE)*VLOOKUP(#REF!,Locaties[],3,FALSE),0)</f>
        <v>0</v>
      </c>
      <c r="AB206" s="33"/>
      <c r="AC206" s="33"/>
      <c r="AD206" s="33">
        <f>Ruimtestaat[[#This Row],[uren / jaar weekend]]*Tariefsopbouw!$D$40</f>
        <v>0</v>
      </c>
      <c r="AE206" s="86">
        <f>Ruimtestaat[[#This Row],[Prest. (m2 /jaar) weekend]]+Ruimtestaat[[#This Row],[Prest. (m2 /jaar) werkdagen]]</f>
        <v>17997</v>
      </c>
      <c r="AF206" s="86">
        <f>Ruimtestaat[[#This Row],[uren / jaar weekend]]+Ruimtestaat[[#This Row],[uren / jaar werkdagen]]</f>
        <v>0</v>
      </c>
      <c r="AG206" s="87">
        <f>Ruimtestaat[[#This Row],[kosten / jaar weekend]]+Ruimtestaat[[#This Row],[kosten / jaar werkdagen]]</f>
        <v>0</v>
      </c>
    </row>
    <row r="207" spans="1:33" ht="15" customHeight="1">
      <c r="A207" s="246">
        <v>2</v>
      </c>
      <c r="B207" s="21" t="str">
        <f>VLOOKUP(Ruimtestaat[[#This Row],[Code]],Locaties[#All],2,FALSE)</f>
        <v>Losser</v>
      </c>
      <c r="C207" s="247" t="str">
        <f>VLOOKUP(Ruimtestaat[[#This Row],[Code]],Locaties[#All],4,FALSE)</f>
        <v>Oranjestraat 2</v>
      </c>
      <c r="D207" s="247" t="str">
        <f>VLOOKUP(Ruimtestaat[[#This Row],[Code]],Locaties[#All],5,FALSE)</f>
        <v>7607 BJ </v>
      </c>
      <c r="E207" s="187" t="str">
        <f>VLOOKUP(Ruimtestaat[[#This Row],[Code]],Locaties[#All],6,FALSE)</f>
        <v>Losser</v>
      </c>
      <c r="F207" s="248"/>
      <c r="G207" s="246">
        <v>1</v>
      </c>
      <c r="H207" s="246" t="s">
        <v>471</v>
      </c>
      <c r="I207" s="248" t="s">
        <v>501</v>
      </c>
      <c r="J207" s="187">
        <v>6</v>
      </c>
      <c r="K207" s="187" t="str">
        <f>VLOOKUP(Ruimtestaat[[#This Row],[Ruimte code]],Ruimtegroepen[#All],2,FALSE)</f>
        <v>Gangen/hallen</v>
      </c>
      <c r="L207" s="187" t="s">
        <v>109</v>
      </c>
      <c r="M207" s="249" t="s">
        <v>1203</v>
      </c>
      <c r="N207" s="200">
        <v>85.1</v>
      </c>
      <c r="O207" s="190"/>
      <c r="P207" s="231" t="str">
        <f>VLOOKUP(Ruimtestaat[[#This Row],[Ruimte code]],Ruimtegroepen[#All],4,FALSE)</f>
        <v>V  (Verkeersruimte)</v>
      </c>
      <c r="Q207" s="201"/>
      <c r="R207" s="202">
        <v>42</v>
      </c>
      <c r="S207" s="202" t="s">
        <v>2</v>
      </c>
      <c r="T207" s="202">
        <f>IF(R207&gt;0,IF(RIGHT(Ruimtestaat[[#This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07" s="202">
        <f>IF(T207&gt;0,VLOOKUP($J207,Ruimtegroepen[],3,FALSE)*VLOOKUP($L207,Vloersoorten[],3,FALSE)*VLOOKUP($S207,Frequenties[],3,FALSE)*VLOOKUP($A207,Locaties[],3,FALSE),0)</f>
        <v>0</v>
      </c>
      <c r="V207" s="202">
        <f>Ruimtestaat[[#This Row],[Uitvoeringen werkdagen]]*Ruimtestaat[[#This Row],[Oppervlak (netto)]]</f>
        <v>17871</v>
      </c>
      <c r="W207" s="242">
        <f>IF(U207&gt;0,Ruimtestaat[[#This Row],[Prest. (m2 /jaar) werkdagen]]/Ruimtestaat[[#This Row],[Norm (m2/uur) werkdagen]],0)</f>
        <v>0</v>
      </c>
      <c r="X207" s="243">
        <f>Ruimtestaat[[#This Row],[uren / jaar werkdagen]]*Tariefsopbouw!$D$38</f>
        <v>0</v>
      </c>
      <c r="Y207" s="33"/>
      <c r="Z207" s="33">
        <f>IF(Ruimtestaat[[#This Row],[Frequentie weekend]]&gt;0,VALUE(LEFT(Y207,1))*R207,0)</f>
        <v>0</v>
      </c>
      <c r="AA207" s="33">
        <f>IF($Z207&gt;0,VLOOKUP($J207,Ruimtegroepen[],3,FALSE)*VLOOKUP($L207,Vloersoorten[],3,FALSE)*VLOOKUP($Y207,Frequenties[],3,FALSE)*VLOOKUP(#REF!,Locaties[],3,FALSE),0)</f>
        <v>0</v>
      </c>
      <c r="AB207" s="33"/>
      <c r="AC207" s="33"/>
      <c r="AD207" s="33">
        <f>Ruimtestaat[[#This Row],[uren / jaar weekend]]*Tariefsopbouw!$D$40</f>
        <v>0</v>
      </c>
      <c r="AE207" s="86">
        <f>Ruimtestaat[[#This Row],[Prest. (m2 /jaar) weekend]]+Ruimtestaat[[#This Row],[Prest. (m2 /jaar) werkdagen]]</f>
        <v>17871</v>
      </c>
      <c r="AF207" s="86">
        <f>Ruimtestaat[[#This Row],[uren / jaar weekend]]+Ruimtestaat[[#This Row],[uren / jaar werkdagen]]</f>
        <v>0</v>
      </c>
      <c r="AG207" s="87">
        <f>Ruimtestaat[[#This Row],[kosten / jaar weekend]]+Ruimtestaat[[#This Row],[kosten / jaar werkdagen]]</f>
        <v>0</v>
      </c>
    </row>
    <row r="208" spans="1:33" ht="15" customHeight="1">
      <c r="A208" s="246">
        <v>2</v>
      </c>
      <c r="B208" s="21" t="str">
        <f>VLOOKUP(Ruimtestaat[[#This Row],[Code]],Locaties[#All],2,FALSE)</f>
        <v>Losser</v>
      </c>
      <c r="C208" s="247" t="str">
        <f>VLOOKUP(Ruimtestaat[[#This Row],[Code]],Locaties[#All],4,FALSE)</f>
        <v>Oranjestraat 2</v>
      </c>
      <c r="D208" s="247" t="str">
        <f>VLOOKUP(Ruimtestaat[[#This Row],[Code]],Locaties[#All],5,FALSE)</f>
        <v>7607 BJ </v>
      </c>
      <c r="E208" s="187" t="str">
        <f>VLOOKUP(Ruimtestaat[[#This Row],[Code]],Locaties[#All],6,FALSE)</f>
        <v>Losser</v>
      </c>
      <c r="F208" s="248"/>
      <c r="G208" s="246">
        <v>1</v>
      </c>
      <c r="H208" s="246" t="s">
        <v>1180</v>
      </c>
      <c r="I208" s="248" t="s">
        <v>549</v>
      </c>
      <c r="J208" s="187">
        <v>6</v>
      </c>
      <c r="K208" s="187" t="str">
        <f>VLOOKUP(Ruimtestaat[[#This Row],[Ruimte code]],Ruimtegroepen[#All],2,FALSE)</f>
        <v>Gangen/hallen</v>
      </c>
      <c r="L208" s="187" t="s">
        <v>109</v>
      </c>
      <c r="M208" s="249" t="s">
        <v>1203</v>
      </c>
      <c r="N208" s="200">
        <v>148.30000000000001</v>
      </c>
      <c r="O208" s="190"/>
      <c r="P208" s="231" t="str">
        <f>VLOOKUP(Ruimtestaat[[#This Row],[Ruimte code]],Ruimtegroepen[#All],4,FALSE)</f>
        <v>V  (Verkeersruimte)</v>
      </c>
      <c r="Q208" s="201"/>
      <c r="R208" s="202">
        <v>42</v>
      </c>
      <c r="S208" s="202" t="s">
        <v>2</v>
      </c>
      <c r="T208" s="202">
        <f>IF(R208&gt;0,IF(RIGHT(Ruimtestaat[[#This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08" s="202">
        <f>IF(T208&gt;0,VLOOKUP($J208,Ruimtegroepen[],3,FALSE)*VLOOKUP($L208,Vloersoorten[],3,FALSE)*VLOOKUP($S208,Frequenties[],3,FALSE)*VLOOKUP($A208,Locaties[],3,FALSE),0)</f>
        <v>0</v>
      </c>
      <c r="V208" s="202">
        <f>Ruimtestaat[[#This Row],[Uitvoeringen werkdagen]]*Ruimtestaat[[#This Row],[Oppervlak (netto)]]</f>
        <v>31143.000000000004</v>
      </c>
      <c r="W208" s="242">
        <f>IF(U208&gt;0,Ruimtestaat[[#This Row],[Prest. (m2 /jaar) werkdagen]]/Ruimtestaat[[#This Row],[Norm (m2/uur) werkdagen]],0)</f>
        <v>0</v>
      </c>
      <c r="X208" s="243">
        <f>Ruimtestaat[[#This Row],[uren / jaar werkdagen]]*Tariefsopbouw!$D$38</f>
        <v>0</v>
      </c>
      <c r="Y208" s="33"/>
      <c r="Z208" s="33">
        <f>IF(Ruimtestaat[[#This Row],[Frequentie weekend]]&gt;0,VALUE(LEFT(Y208,1))*R208,0)</f>
        <v>0</v>
      </c>
      <c r="AA208" s="33">
        <f>IF($Z208&gt;0,VLOOKUP($J208,Ruimtegroepen[],3,FALSE)*VLOOKUP($L208,Vloersoorten[],3,FALSE)*VLOOKUP($Y208,Frequenties[],3,FALSE)*VLOOKUP(#REF!,Locaties[],3,FALSE),0)</f>
        <v>0</v>
      </c>
      <c r="AB208" s="33"/>
      <c r="AC208" s="33"/>
      <c r="AD208" s="33">
        <f>Ruimtestaat[[#This Row],[uren / jaar weekend]]*Tariefsopbouw!$D$40</f>
        <v>0</v>
      </c>
      <c r="AE208" s="86">
        <f>Ruimtestaat[[#This Row],[Prest. (m2 /jaar) weekend]]+Ruimtestaat[[#This Row],[Prest. (m2 /jaar) werkdagen]]</f>
        <v>31143.000000000004</v>
      </c>
      <c r="AF208" s="86">
        <f>Ruimtestaat[[#This Row],[uren / jaar weekend]]+Ruimtestaat[[#This Row],[uren / jaar werkdagen]]</f>
        <v>0</v>
      </c>
      <c r="AG208" s="87">
        <f>Ruimtestaat[[#This Row],[kosten / jaar weekend]]+Ruimtestaat[[#This Row],[kosten / jaar werkdagen]]</f>
        <v>0</v>
      </c>
    </row>
    <row r="209" spans="1:219" ht="15" customHeight="1">
      <c r="A209" s="246">
        <v>2</v>
      </c>
      <c r="B209" s="21" t="str">
        <f>VLOOKUP(Ruimtestaat[[#This Row],[Code]],Locaties[#All],2,FALSE)</f>
        <v>Losser</v>
      </c>
      <c r="C209" s="247" t="str">
        <f>VLOOKUP(Ruimtestaat[[#This Row],[Code]],Locaties[#All],4,FALSE)</f>
        <v>Oranjestraat 2</v>
      </c>
      <c r="D209" s="247" t="str">
        <f>VLOOKUP(Ruimtestaat[[#This Row],[Code]],Locaties[#All],5,FALSE)</f>
        <v>7607 BJ </v>
      </c>
      <c r="E209" s="187" t="str">
        <f>VLOOKUP(Ruimtestaat[[#This Row],[Code]],Locaties[#All],6,FALSE)</f>
        <v>Losser</v>
      </c>
      <c r="F209" s="248"/>
      <c r="G209" s="246">
        <v>1</v>
      </c>
      <c r="H209" s="246" t="s">
        <v>1181</v>
      </c>
      <c r="I209" s="248" t="s">
        <v>549</v>
      </c>
      <c r="J209" s="187">
        <v>6</v>
      </c>
      <c r="K209" s="187" t="str">
        <f>VLOOKUP(Ruimtestaat[[#This Row],[Ruimte code]],Ruimtegroepen[#All],2,FALSE)</f>
        <v>Gangen/hallen</v>
      </c>
      <c r="L209" s="187" t="s">
        <v>109</v>
      </c>
      <c r="M209" s="249" t="s">
        <v>1203</v>
      </c>
      <c r="N209" s="200">
        <v>22.3</v>
      </c>
      <c r="O209" s="190"/>
      <c r="P209" s="231" t="str">
        <f>VLOOKUP(Ruimtestaat[[#This Row],[Ruimte code]],Ruimtegroepen[#All],4,FALSE)</f>
        <v>V  (Verkeersruimte)</v>
      </c>
      <c r="Q209" s="201"/>
      <c r="R209" s="202">
        <v>42</v>
      </c>
      <c r="S209" s="202" t="s">
        <v>2</v>
      </c>
      <c r="T209" s="202">
        <f>IF(R209&gt;0,IF(RIGHT(Ruimtestaat[[#This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09" s="202">
        <f>IF(T209&gt;0,VLOOKUP($J209,Ruimtegroepen[],3,FALSE)*VLOOKUP($L209,Vloersoorten[],3,FALSE)*VLOOKUP($S209,Frequenties[],3,FALSE)*VLOOKUP($A209,Locaties[],3,FALSE),0)</f>
        <v>0</v>
      </c>
      <c r="V209" s="202">
        <f>Ruimtestaat[[#This Row],[Uitvoeringen werkdagen]]*Ruimtestaat[[#This Row],[Oppervlak (netto)]]</f>
        <v>4683</v>
      </c>
      <c r="W209" s="242">
        <f>IF(U209&gt;0,Ruimtestaat[[#This Row],[Prest. (m2 /jaar) werkdagen]]/Ruimtestaat[[#This Row],[Norm (m2/uur) werkdagen]],0)</f>
        <v>0</v>
      </c>
      <c r="X209" s="243">
        <f>Ruimtestaat[[#This Row],[uren / jaar werkdagen]]*Tariefsopbouw!$D$38</f>
        <v>0</v>
      </c>
      <c r="Y209" s="33"/>
      <c r="Z209" s="33">
        <f>IF(Ruimtestaat[[#This Row],[Frequentie weekend]]&gt;0,VALUE(LEFT(Y209,1))*R209,0)</f>
        <v>0</v>
      </c>
      <c r="AA209" s="33">
        <f>IF($Z209&gt;0,VLOOKUP($J209,Ruimtegroepen[],3,FALSE)*VLOOKUP($L209,Vloersoorten[],3,FALSE)*VLOOKUP($Y209,Frequenties[],3,FALSE)*VLOOKUP(#REF!,Locaties[],3,FALSE),0)</f>
        <v>0</v>
      </c>
      <c r="AB209" s="33"/>
      <c r="AC209" s="33"/>
      <c r="AD209" s="33">
        <f>Ruimtestaat[[#This Row],[uren / jaar weekend]]*Tariefsopbouw!$D$40</f>
        <v>0</v>
      </c>
      <c r="AE209" s="86">
        <f>Ruimtestaat[[#This Row],[Prest. (m2 /jaar) weekend]]+Ruimtestaat[[#This Row],[Prest. (m2 /jaar) werkdagen]]</f>
        <v>4683</v>
      </c>
      <c r="AF209" s="86">
        <f>Ruimtestaat[[#This Row],[uren / jaar weekend]]+Ruimtestaat[[#This Row],[uren / jaar werkdagen]]</f>
        <v>0</v>
      </c>
      <c r="AG209" s="87">
        <f>Ruimtestaat[[#This Row],[kosten / jaar weekend]]+Ruimtestaat[[#This Row],[kosten / jaar werkdagen]]</f>
        <v>0</v>
      </c>
    </row>
    <row r="210" spans="1:219" ht="15" customHeight="1">
      <c r="A210" s="246">
        <v>2</v>
      </c>
      <c r="B210" s="21" t="str">
        <f>VLOOKUP(Ruimtestaat[[#This Row],[Code]],Locaties[#All],2,FALSE)</f>
        <v>Losser</v>
      </c>
      <c r="C210" s="247" t="str">
        <f>VLOOKUP(Ruimtestaat[[#This Row],[Code]],Locaties[#All],4,FALSE)</f>
        <v>Oranjestraat 2</v>
      </c>
      <c r="D210" s="247" t="str">
        <f>VLOOKUP(Ruimtestaat[[#This Row],[Code]],Locaties[#All],5,FALSE)</f>
        <v>7607 BJ </v>
      </c>
      <c r="E210" s="187" t="str">
        <f>VLOOKUP(Ruimtestaat[[#This Row],[Code]],Locaties[#All],6,FALSE)</f>
        <v>Losser</v>
      </c>
      <c r="F210" s="248"/>
      <c r="G210" s="246">
        <v>1</v>
      </c>
      <c r="H210" s="246" t="s">
        <v>1182</v>
      </c>
      <c r="I210" s="248" t="s">
        <v>1155</v>
      </c>
      <c r="J210" s="187">
        <v>5</v>
      </c>
      <c r="K210" s="187" t="str">
        <f>VLOOKUP(Ruimtestaat[[#This Row],[Ruimte code]],Ruimtegroepen[#All],2,FALSE)</f>
        <v>Sanitair</v>
      </c>
      <c r="L210" s="202" t="s">
        <v>108</v>
      </c>
      <c r="M210" s="249" t="s">
        <v>1206</v>
      </c>
      <c r="N210" s="200">
        <v>2.9</v>
      </c>
      <c r="O210" s="190"/>
      <c r="P210" s="231" t="str">
        <f>VLOOKUP(Ruimtestaat[[#This Row],[Ruimte code]],Ruimtegroepen[#All],4,FALSE)</f>
        <v>S  (Sanitair)</v>
      </c>
      <c r="Q210" s="201"/>
      <c r="R210" s="202">
        <v>42</v>
      </c>
      <c r="S210" s="202" t="s">
        <v>2</v>
      </c>
      <c r="T210" s="202">
        <f>IF(R210&gt;0,IF(RIGHT(Ruimtestaat[[#This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10" s="202">
        <f>IF(T210&gt;0,VLOOKUP($J210,Ruimtegroepen[],3,FALSE)*VLOOKUP($L210,Vloersoorten[],3,FALSE)*VLOOKUP($S210,Frequenties[],3,FALSE)*VLOOKUP($A210,Locaties[],3,FALSE),0)</f>
        <v>0</v>
      </c>
      <c r="V210" s="202">
        <f>Ruimtestaat[[#This Row],[Uitvoeringen werkdagen]]*Ruimtestaat[[#This Row],[Oppervlak (netto)]]</f>
        <v>609</v>
      </c>
      <c r="W210" s="242">
        <f>IF(U210&gt;0,Ruimtestaat[[#This Row],[Prest. (m2 /jaar) werkdagen]]/Ruimtestaat[[#This Row],[Norm (m2/uur) werkdagen]],0)</f>
        <v>0</v>
      </c>
      <c r="X210" s="243">
        <f>Ruimtestaat[[#This Row],[uren / jaar werkdagen]]*Tariefsopbouw!$D$38</f>
        <v>0</v>
      </c>
      <c r="Y210" s="33"/>
      <c r="Z210" s="33">
        <f>IF(Ruimtestaat[[#This Row],[Frequentie weekend]]&gt;0,VALUE(LEFT(Y210,1))*R210,0)</f>
        <v>0</v>
      </c>
      <c r="AA210" s="33">
        <f>IF($Z210&gt;0,VLOOKUP($J210,Ruimtegroepen[],3,FALSE)*VLOOKUP($L210,Vloersoorten[],3,FALSE)*VLOOKUP($Y210,Frequenties[],3,FALSE)*VLOOKUP(#REF!,Locaties[],3,FALSE),0)</f>
        <v>0</v>
      </c>
      <c r="AB210" s="33"/>
      <c r="AC210" s="33"/>
      <c r="AD210" s="33">
        <f>Ruimtestaat[[#This Row],[uren / jaar weekend]]*Tariefsopbouw!$D$40</f>
        <v>0</v>
      </c>
      <c r="AE210" s="86">
        <f>Ruimtestaat[[#This Row],[Prest. (m2 /jaar) weekend]]+Ruimtestaat[[#This Row],[Prest. (m2 /jaar) werkdagen]]</f>
        <v>609</v>
      </c>
      <c r="AF210" s="86">
        <f>Ruimtestaat[[#This Row],[uren / jaar weekend]]+Ruimtestaat[[#This Row],[uren / jaar werkdagen]]</f>
        <v>0</v>
      </c>
      <c r="AG210" s="87">
        <f>Ruimtestaat[[#This Row],[kosten / jaar weekend]]+Ruimtestaat[[#This Row],[kosten / jaar werkdagen]]</f>
        <v>0</v>
      </c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/>
      <c r="DI210" s="4"/>
      <c r="DJ210" s="4"/>
      <c r="DK210" s="4"/>
      <c r="DL210" s="4"/>
      <c r="DM210" s="4"/>
      <c r="DN210" s="4"/>
      <c r="DO210" s="4"/>
      <c r="DP210" s="4"/>
      <c r="DQ210" s="4"/>
      <c r="DR210" s="4"/>
      <c r="DS210" s="4"/>
      <c r="DT210" s="4"/>
      <c r="DU210" s="4"/>
      <c r="DV210" s="4"/>
      <c r="DW210" s="4"/>
      <c r="DX210" s="4"/>
      <c r="DY210" s="4"/>
      <c r="DZ210" s="4"/>
      <c r="EA210" s="4"/>
      <c r="EB210" s="4"/>
      <c r="EC210" s="4"/>
      <c r="ED210" s="4"/>
      <c r="EE210" s="4"/>
      <c r="EF210" s="4"/>
      <c r="EG210" s="4"/>
      <c r="EH210" s="4"/>
      <c r="EI210" s="4"/>
      <c r="EJ210" s="4"/>
      <c r="EK210" s="4"/>
      <c r="EL210" s="4"/>
      <c r="EM210" s="4"/>
      <c r="EN210" s="4"/>
      <c r="EO210" s="4"/>
      <c r="EP210" s="4"/>
      <c r="EQ210" s="4"/>
      <c r="ER210" s="4"/>
      <c r="ES210" s="4"/>
      <c r="ET210" s="4"/>
      <c r="EU210" s="4"/>
      <c r="EV210" s="4"/>
      <c r="EW210" s="4"/>
      <c r="EX210" s="4"/>
      <c r="EY210" s="4"/>
      <c r="EZ210" s="4"/>
      <c r="FA210" s="4"/>
      <c r="FB210" s="4"/>
      <c r="FC210" s="4"/>
      <c r="FD210" s="4"/>
      <c r="FE210" s="4"/>
      <c r="FF210" s="4"/>
      <c r="FG210" s="4"/>
      <c r="FH210" s="4"/>
      <c r="FI210" s="4"/>
      <c r="FJ210" s="4"/>
      <c r="FK210" s="4"/>
      <c r="FL210" s="4"/>
      <c r="FM210" s="4"/>
      <c r="FN210" s="4"/>
      <c r="FO210" s="4"/>
      <c r="FP210" s="4"/>
      <c r="FQ210" s="4"/>
      <c r="FR210" s="4"/>
      <c r="FS210" s="4"/>
      <c r="FT210" s="4"/>
      <c r="FU210" s="4"/>
      <c r="FV210" s="4"/>
      <c r="FW210" s="4"/>
      <c r="FX210" s="4"/>
      <c r="FY210" s="4"/>
      <c r="FZ210" s="4"/>
      <c r="GA210" s="4"/>
      <c r="GB210" s="4"/>
      <c r="GC210" s="4"/>
      <c r="GD210" s="4"/>
      <c r="GE210" s="4"/>
      <c r="GF210" s="4"/>
      <c r="GG210" s="4"/>
      <c r="GH210" s="4"/>
      <c r="GI210" s="4"/>
      <c r="GJ210" s="4"/>
      <c r="GK210" s="4"/>
      <c r="GL210" s="4"/>
      <c r="GM210" s="4"/>
      <c r="GN210" s="4"/>
      <c r="GO210" s="4"/>
      <c r="GP210" s="4"/>
      <c r="GQ210" s="4"/>
      <c r="GR210" s="4"/>
      <c r="GS210" s="4"/>
      <c r="GT210" s="4"/>
      <c r="GU210" s="4"/>
      <c r="GV210" s="4"/>
      <c r="GW210" s="4"/>
      <c r="GX210" s="4"/>
      <c r="GY210" s="4"/>
      <c r="GZ210" s="4"/>
      <c r="HA210" s="4"/>
      <c r="HB210" s="4"/>
      <c r="HC210" s="4"/>
      <c r="HD210" s="4"/>
      <c r="HE210" s="4"/>
      <c r="HF210" s="4"/>
      <c r="HG210" s="4"/>
      <c r="HH210" s="4"/>
      <c r="HI210" s="4"/>
      <c r="HJ210" s="4"/>
      <c r="HK210" s="4"/>
    </row>
    <row r="211" spans="1:219" ht="15" customHeight="1">
      <c r="A211" s="246">
        <v>2</v>
      </c>
      <c r="B211" s="21" t="str">
        <f>VLOOKUP(Ruimtestaat[[#This Row],[Code]],Locaties[#All],2,FALSE)</f>
        <v>Losser</v>
      </c>
      <c r="C211" s="247" t="str">
        <f>VLOOKUP(Ruimtestaat[[#This Row],[Code]],Locaties[#All],4,FALSE)</f>
        <v>Oranjestraat 2</v>
      </c>
      <c r="D211" s="247" t="str">
        <f>VLOOKUP(Ruimtestaat[[#This Row],[Code]],Locaties[#All],5,FALSE)</f>
        <v>7607 BJ </v>
      </c>
      <c r="E211" s="187" t="str">
        <f>VLOOKUP(Ruimtestaat[[#This Row],[Code]],Locaties[#All],6,FALSE)</f>
        <v>Losser</v>
      </c>
      <c r="F211" s="248"/>
      <c r="G211" s="246">
        <v>1</v>
      </c>
      <c r="H211" s="246" t="s">
        <v>1183</v>
      </c>
      <c r="I211" s="248" t="s">
        <v>509</v>
      </c>
      <c r="J211" s="202">
        <v>5</v>
      </c>
      <c r="K211" s="202" t="str">
        <f>VLOOKUP(Ruimtestaat[[#This Row],[Ruimte code]],Ruimtegroepen[#All],2,FALSE)</f>
        <v>Sanitair</v>
      </c>
      <c r="L211" s="202" t="s">
        <v>108</v>
      </c>
      <c r="M211" s="249" t="s">
        <v>1206</v>
      </c>
      <c r="N211" s="200">
        <v>1.1000000000000001</v>
      </c>
      <c r="O211" s="190"/>
      <c r="P211" s="231" t="str">
        <f>VLOOKUP(Ruimtestaat[[#This Row],[Ruimte code]],Ruimtegroepen[#All],4,FALSE)</f>
        <v>S  (Sanitair)</v>
      </c>
      <c r="Q211" s="201"/>
      <c r="R211" s="202">
        <v>42</v>
      </c>
      <c r="S211" s="202" t="s">
        <v>2</v>
      </c>
      <c r="T211" s="202">
        <f>IF(R211&gt;0,IF(RIGHT(Ruimtestaat[[#This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11" s="202">
        <f>IF(T211&gt;0,VLOOKUP($J211,Ruimtegroepen[],3,FALSE)*VLOOKUP($L211,Vloersoorten[],3,FALSE)*VLOOKUP($S211,Frequenties[],3,FALSE)*VLOOKUP($A211,Locaties[],3,FALSE),0)</f>
        <v>0</v>
      </c>
      <c r="V211" s="202">
        <f>Ruimtestaat[[#This Row],[Uitvoeringen werkdagen]]*Ruimtestaat[[#This Row],[Oppervlak (netto)]]</f>
        <v>231.00000000000003</v>
      </c>
      <c r="W211" s="242">
        <f>IF(U211&gt;0,Ruimtestaat[[#This Row],[Prest. (m2 /jaar) werkdagen]]/Ruimtestaat[[#This Row],[Norm (m2/uur) werkdagen]],0)</f>
        <v>0</v>
      </c>
      <c r="X211" s="243">
        <f>Ruimtestaat[[#This Row],[uren / jaar werkdagen]]*Tariefsopbouw!$D$38</f>
        <v>0</v>
      </c>
      <c r="Y211" s="33"/>
      <c r="Z211" s="33">
        <f>IF(Ruimtestaat[[#This Row],[Frequentie weekend]]&gt;0,VALUE(LEFT(Y211,1))*R211,0)</f>
        <v>0</v>
      </c>
      <c r="AA211" s="33">
        <f>IF($Z211&gt;0,VLOOKUP($J211,Ruimtegroepen[],3,FALSE)*VLOOKUP($L211,Vloersoorten[],3,FALSE)*VLOOKUP($Y211,Frequenties[],3,FALSE)*VLOOKUP(#REF!,Locaties[],3,FALSE),0)</f>
        <v>0</v>
      </c>
      <c r="AB211" s="33"/>
      <c r="AC211" s="33"/>
      <c r="AD211" s="33">
        <f>Ruimtestaat[[#This Row],[uren / jaar weekend]]*Tariefsopbouw!$D$40</f>
        <v>0</v>
      </c>
      <c r="AE211" s="86">
        <f>Ruimtestaat[[#This Row],[Prest. (m2 /jaar) weekend]]+Ruimtestaat[[#This Row],[Prest. (m2 /jaar) werkdagen]]</f>
        <v>231.00000000000003</v>
      </c>
      <c r="AF211" s="86">
        <f>Ruimtestaat[[#This Row],[uren / jaar weekend]]+Ruimtestaat[[#This Row],[uren / jaar werkdagen]]</f>
        <v>0</v>
      </c>
      <c r="AG211" s="87">
        <f>Ruimtestaat[[#This Row],[kosten / jaar weekend]]+Ruimtestaat[[#This Row],[kosten / jaar werkdagen]]</f>
        <v>0</v>
      </c>
    </row>
    <row r="212" spans="1:219" ht="15" customHeight="1">
      <c r="A212" s="246">
        <v>2</v>
      </c>
      <c r="B212" s="21" t="str">
        <f>VLOOKUP(Ruimtestaat[[#This Row],[Code]],Locaties[#All],2,FALSE)</f>
        <v>Losser</v>
      </c>
      <c r="C212" s="247" t="str">
        <f>VLOOKUP(Ruimtestaat[[#This Row],[Code]],Locaties[#All],4,FALSE)</f>
        <v>Oranjestraat 2</v>
      </c>
      <c r="D212" s="247" t="str">
        <f>VLOOKUP(Ruimtestaat[[#This Row],[Code]],Locaties[#All],5,FALSE)</f>
        <v>7607 BJ </v>
      </c>
      <c r="E212" s="187" t="str">
        <f>VLOOKUP(Ruimtestaat[[#This Row],[Code]],Locaties[#All],6,FALSE)</f>
        <v>Losser</v>
      </c>
      <c r="F212" s="248"/>
      <c r="G212" s="246">
        <v>1</v>
      </c>
      <c r="H212" s="246" t="s">
        <v>1184</v>
      </c>
      <c r="I212" s="248" t="s">
        <v>509</v>
      </c>
      <c r="J212" s="187">
        <v>5</v>
      </c>
      <c r="K212" s="187" t="str">
        <f>VLOOKUP(Ruimtestaat[[#This Row],[Ruimte code]],Ruimtegroepen[#All],2,FALSE)</f>
        <v>Sanitair</v>
      </c>
      <c r="L212" s="202" t="s">
        <v>108</v>
      </c>
      <c r="M212" s="249" t="s">
        <v>1206</v>
      </c>
      <c r="N212" s="200">
        <v>1.1000000000000001</v>
      </c>
      <c r="O212" s="190"/>
      <c r="P212" s="231" t="str">
        <f>VLOOKUP(Ruimtestaat[[#This Row],[Ruimte code]],Ruimtegroepen[#All],4,FALSE)</f>
        <v>S  (Sanitair)</v>
      </c>
      <c r="Q212" s="201"/>
      <c r="R212" s="202">
        <v>42</v>
      </c>
      <c r="S212" s="202" t="s">
        <v>2</v>
      </c>
      <c r="T212" s="202">
        <f>IF(R212&gt;0,IF(RIGHT(Ruimtestaat[[#This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12" s="202">
        <f>IF(T212&gt;0,VLOOKUP($J212,Ruimtegroepen[],3,FALSE)*VLOOKUP($L212,Vloersoorten[],3,FALSE)*VLOOKUP($S212,Frequenties[],3,FALSE)*VLOOKUP($A212,Locaties[],3,FALSE),0)</f>
        <v>0</v>
      </c>
      <c r="V212" s="202">
        <f>Ruimtestaat[[#This Row],[Uitvoeringen werkdagen]]*Ruimtestaat[[#This Row],[Oppervlak (netto)]]</f>
        <v>231.00000000000003</v>
      </c>
      <c r="W212" s="242">
        <f>IF(U212&gt;0,Ruimtestaat[[#This Row],[Prest. (m2 /jaar) werkdagen]]/Ruimtestaat[[#This Row],[Norm (m2/uur) werkdagen]],0)</f>
        <v>0</v>
      </c>
      <c r="X212" s="243">
        <f>Ruimtestaat[[#This Row],[uren / jaar werkdagen]]*Tariefsopbouw!$D$38</f>
        <v>0</v>
      </c>
      <c r="Y212" s="33"/>
      <c r="Z212" s="33">
        <f>IF(Ruimtestaat[[#This Row],[Frequentie weekend]]&gt;0,VALUE(LEFT(Y212,1))*R212,0)</f>
        <v>0</v>
      </c>
      <c r="AA212" s="33">
        <f>IF($Z212&gt;0,VLOOKUP($J212,Ruimtegroepen[],3,FALSE)*VLOOKUP($L212,Vloersoorten[],3,FALSE)*VLOOKUP($Y212,Frequenties[],3,FALSE)*VLOOKUP(#REF!,Locaties[],3,FALSE),0)</f>
        <v>0</v>
      </c>
      <c r="AB212" s="33"/>
      <c r="AC212" s="33"/>
      <c r="AD212" s="33">
        <f>Ruimtestaat[[#This Row],[uren / jaar weekend]]*Tariefsopbouw!$D$40</f>
        <v>0</v>
      </c>
      <c r="AE212" s="86">
        <f>Ruimtestaat[[#This Row],[Prest. (m2 /jaar) weekend]]+Ruimtestaat[[#This Row],[Prest. (m2 /jaar) werkdagen]]</f>
        <v>231.00000000000003</v>
      </c>
      <c r="AF212" s="86">
        <f>Ruimtestaat[[#This Row],[uren / jaar weekend]]+Ruimtestaat[[#This Row],[uren / jaar werkdagen]]</f>
        <v>0</v>
      </c>
      <c r="AG212" s="87">
        <f>Ruimtestaat[[#This Row],[kosten / jaar weekend]]+Ruimtestaat[[#This Row],[kosten / jaar werkdagen]]</f>
        <v>0</v>
      </c>
    </row>
    <row r="213" spans="1:219" ht="15" customHeight="1">
      <c r="A213" s="246">
        <v>2</v>
      </c>
      <c r="B213" s="21" t="str">
        <f>VLOOKUP(Ruimtestaat[[#This Row],[Code]],Locaties[#All],2,FALSE)</f>
        <v>Losser</v>
      </c>
      <c r="C213" s="247" t="str">
        <f>VLOOKUP(Ruimtestaat[[#This Row],[Code]],Locaties[#All],4,FALSE)</f>
        <v>Oranjestraat 2</v>
      </c>
      <c r="D213" s="247" t="str">
        <f>VLOOKUP(Ruimtestaat[[#This Row],[Code]],Locaties[#All],5,FALSE)</f>
        <v>7607 BJ </v>
      </c>
      <c r="E213" s="187" t="str">
        <f>VLOOKUP(Ruimtestaat[[#This Row],[Code]],Locaties[#All],6,FALSE)</f>
        <v>Losser</v>
      </c>
      <c r="F213" s="248"/>
      <c r="G213" s="246">
        <v>1</v>
      </c>
      <c r="H213" s="246" t="s">
        <v>1185</v>
      </c>
      <c r="I213" s="248" t="s">
        <v>1155</v>
      </c>
      <c r="J213" s="187">
        <v>5</v>
      </c>
      <c r="K213" s="187" t="str">
        <f>VLOOKUP(Ruimtestaat[[#This Row],[Ruimte code]],Ruimtegroepen[#All],2,FALSE)</f>
        <v>Sanitair</v>
      </c>
      <c r="L213" s="202" t="s">
        <v>108</v>
      </c>
      <c r="M213" s="249" t="s">
        <v>1206</v>
      </c>
      <c r="N213" s="200">
        <v>2.89</v>
      </c>
      <c r="O213" s="190"/>
      <c r="P213" s="231" t="str">
        <f>VLOOKUP(Ruimtestaat[[#This Row],[Ruimte code]],Ruimtegroepen[#All],4,FALSE)</f>
        <v>S  (Sanitair)</v>
      </c>
      <c r="Q213" s="201"/>
      <c r="R213" s="202">
        <v>42</v>
      </c>
      <c r="S213" s="202" t="s">
        <v>2</v>
      </c>
      <c r="T213" s="202">
        <f>IF(R213&gt;0,IF(RIGHT(Ruimtestaat[[#This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13" s="202">
        <f>IF(T213&gt;0,VLOOKUP($J213,Ruimtegroepen[],3,FALSE)*VLOOKUP($L213,Vloersoorten[],3,FALSE)*VLOOKUP($S213,Frequenties[],3,FALSE)*VLOOKUP($A213,Locaties[],3,FALSE),0)</f>
        <v>0</v>
      </c>
      <c r="V213" s="202">
        <f>Ruimtestaat[[#This Row],[Uitvoeringen werkdagen]]*Ruimtestaat[[#This Row],[Oppervlak (netto)]]</f>
        <v>606.9</v>
      </c>
      <c r="W213" s="242">
        <f>IF(U213&gt;0,Ruimtestaat[[#This Row],[Prest. (m2 /jaar) werkdagen]]/Ruimtestaat[[#This Row],[Norm (m2/uur) werkdagen]],0)</f>
        <v>0</v>
      </c>
      <c r="X213" s="243">
        <f>Ruimtestaat[[#This Row],[uren / jaar werkdagen]]*Tariefsopbouw!$D$38</f>
        <v>0</v>
      </c>
      <c r="Y213" s="33"/>
      <c r="Z213" s="33">
        <f>IF(Ruimtestaat[[#This Row],[Frequentie weekend]]&gt;0,VALUE(LEFT(Y213,1))*R213,0)</f>
        <v>0</v>
      </c>
      <c r="AA213" s="33">
        <f>IF($Z213&gt;0,VLOOKUP($J213,Ruimtegroepen[],3,FALSE)*VLOOKUP($L213,Vloersoorten[],3,FALSE)*VLOOKUP($Y213,Frequenties[],3,FALSE)*VLOOKUP(#REF!,Locaties[],3,FALSE),0)</f>
        <v>0</v>
      </c>
      <c r="AB213" s="33"/>
      <c r="AC213" s="33"/>
      <c r="AD213" s="33">
        <f>Ruimtestaat[[#This Row],[uren / jaar weekend]]*Tariefsopbouw!$D$40</f>
        <v>0</v>
      </c>
      <c r="AE213" s="86">
        <f>Ruimtestaat[[#This Row],[Prest. (m2 /jaar) weekend]]+Ruimtestaat[[#This Row],[Prest. (m2 /jaar) werkdagen]]</f>
        <v>606.9</v>
      </c>
      <c r="AF213" s="86">
        <f>Ruimtestaat[[#This Row],[uren / jaar weekend]]+Ruimtestaat[[#This Row],[uren / jaar werkdagen]]</f>
        <v>0</v>
      </c>
      <c r="AG213" s="87">
        <f>Ruimtestaat[[#This Row],[kosten / jaar weekend]]+Ruimtestaat[[#This Row],[kosten / jaar werkdagen]]</f>
        <v>0</v>
      </c>
    </row>
    <row r="214" spans="1:219" ht="15" customHeight="1">
      <c r="A214" s="246">
        <v>2</v>
      </c>
      <c r="B214" s="21" t="str">
        <f>VLOOKUP(Ruimtestaat[[#This Row],[Code]],Locaties[#All],2,FALSE)</f>
        <v>Losser</v>
      </c>
      <c r="C214" s="247" t="str">
        <f>VLOOKUP(Ruimtestaat[[#This Row],[Code]],Locaties[#All],4,FALSE)</f>
        <v>Oranjestraat 2</v>
      </c>
      <c r="D214" s="247" t="str">
        <f>VLOOKUP(Ruimtestaat[[#This Row],[Code]],Locaties[#All],5,FALSE)</f>
        <v>7607 BJ </v>
      </c>
      <c r="E214" s="187" t="str">
        <f>VLOOKUP(Ruimtestaat[[#This Row],[Code]],Locaties[#All],6,FALSE)</f>
        <v>Losser</v>
      </c>
      <c r="F214" s="248"/>
      <c r="G214" s="246">
        <v>1</v>
      </c>
      <c r="H214" s="246" t="s">
        <v>1186</v>
      </c>
      <c r="I214" s="248" t="s">
        <v>509</v>
      </c>
      <c r="J214" s="187">
        <v>5</v>
      </c>
      <c r="K214" s="187" t="str">
        <f>VLOOKUP(Ruimtestaat[[#This Row],[Ruimte code]],Ruimtegroepen[#All],2,FALSE)</f>
        <v>Sanitair</v>
      </c>
      <c r="L214" s="202" t="s">
        <v>108</v>
      </c>
      <c r="M214" s="249" t="s">
        <v>1206</v>
      </c>
      <c r="N214" s="200">
        <v>1.1000000000000001</v>
      </c>
      <c r="O214" s="190"/>
      <c r="P214" s="231" t="str">
        <f>VLOOKUP(Ruimtestaat[[#This Row],[Ruimte code]],Ruimtegroepen[#All],4,FALSE)</f>
        <v>S  (Sanitair)</v>
      </c>
      <c r="Q214" s="201"/>
      <c r="R214" s="202">
        <v>42</v>
      </c>
      <c r="S214" s="202" t="s">
        <v>2</v>
      </c>
      <c r="T214" s="202">
        <f>IF(R214&gt;0,IF(RIGHT(Ruimtestaat[[#This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14" s="202">
        <f>IF(T214&gt;0,VLOOKUP($J214,Ruimtegroepen[],3,FALSE)*VLOOKUP($L214,Vloersoorten[],3,FALSE)*VLOOKUP($S214,Frequenties[],3,FALSE)*VLOOKUP($A214,Locaties[],3,FALSE),0)</f>
        <v>0</v>
      </c>
      <c r="V214" s="202">
        <f>Ruimtestaat[[#This Row],[Uitvoeringen werkdagen]]*Ruimtestaat[[#This Row],[Oppervlak (netto)]]</f>
        <v>231.00000000000003</v>
      </c>
      <c r="W214" s="242">
        <f>IF(U214&gt;0,Ruimtestaat[[#This Row],[Prest. (m2 /jaar) werkdagen]]/Ruimtestaat[[#This Row],[Norm (m2/uur) werkdagen]],0)</f>
        <v>0</v>
      </c>
      <c r="X214" s="243">
        <f>Ruimtestaat[[#This Row],[uren / jaar werkdagen]]*Tariefsopbouw!$D$38</f>
        <v>0</v>
      </c>
      <c r="Y214" s="33"/>
      <c r="Z214" s="33">
        <f>IF(Ruimtestaat[[#This Row],[Frequentie weekend]]&gt;0,VALUE(LEFT(Y214,1))*R214,0)</f>
        <v>0</v>
      </c>
      <c r="AA214" s="33">
        <f>IF($Z214&gt;0,VLOOKUP($J214,Ruimtegroepen[],3,FALSE)*VLOOKUP($L214,Vloersoorten[],3,FALSE)*VLOOKUP($Y214,Frequenties[],3,FALSE)*VLOOKUP(#REF!,Locaties[],3,FALSE),0)</f>
        <v>0</v>
      </c>
      <c r="AB214" s="33"/>
      <c r="AC214" s="33"/>
      <c r="AD214" s="33">
        <f>Ruimtestaat[[#This Row],[uren / jaar weekend]]*Tariefsopbouw!$D$40</f>
        <v>0</v>
      </c>
      <c r="AE214" s="86">
        <f>Ruimtestaat[[#This Row],[Prest. (m2 /jaar) weekend]]+Ruimtestaat[[#This Row],[Prest. (m2 /jaar) werkdagen]]</f>
        <v>231.00000000000003</v>
      </c>
      <c r="AF214" s="86">
        <f>Ruimtestaat[[#This Row],[uren / jaar weekend]]+Ruimtestaat[[#This Row],[uren / jaar werkdagen]]</f>
        <v>0</v>
      </c>
      <c r="AG214" s="87">
        <f>Ruimtestaat[[#This Row],[kosten / jaar weekend]]+Ruimtestaat[[#This Row],[kosten / jaar werkdagen]]</f>
        <v>0</v>
      </c>
    </row>
    <row r="215" spans="1:219" ht="15" customHeight="1">
      <c r="A215" s="246">
        <v>2</v>
      </c>
      <c r="B215" s="21" t="str">
        <f>VLOOKUP(Ruimtestaat[[#This Row],[Code]],Locaties[#All],2,FALSE)</f>
        <v>Losser</v>
      </c>
      <c r="C215" s="247" t="str">
        <f>VLOOKUP(Ruimtestaat[[#This Row],[Code]],Locaties[#All],4,FALSE)</f>
        <v>Oranjestraat 2</v>
      </c>
      <c r="D215" s="247" t="str">
        <f>VLOOKUP(Ruimtestaat[[#This Row],[Code]],Locaties[#All],5,FALSE)</f>
        <v>7607 BJ </v>
      </c>
      <c r="E215" s="187" t="str">
        <f>VLOOKUP(Ruimtestaat[[#This Row],[Code]],Locaties[#All],6,FALSE)</f>
        <v>Losser</v>
      </c>
      <c r="F215" s="248"/>
      <c r="G215" s="246">
        <v>1</v>
      </c>
      <c r="H215" s="246" t="s">
        <v>1187</v>
      </c>
      <c r="I215" s="248" t="s">
        <v>509</v>
      </c>
      <c r="J215" s="187">
        <v>5</v>
      </c>
      <c r="K215" s="187" t="str">
        <f>VLOOKUP(Ruimtestaat[[#This Row],[Ruimte code]],Ruimtegroepen[#All],2,FALSE)</f>
        <v>Sanitair</v>
      </c>
      <c r="L215" s="202" t="s">
        <v>108</v>
      </c>
      <c r="M215" s="249" t="s">
        <v>1206</v>
      </c>
      <c r="N215" s="200">
        <v>1.1000000000000001</v>
      </c>
      <c r="O215" s="190"/>
      <c r="P215" s="231" t="str">
        <f>VLOOKUP(Ruimtestaat[[#This Row],[Ruimte code]],Ruimtegroepen[#All],4,FALSE)</f>
        <v>S  (Sanitair)</v>
      </c>
      <c r="Q215" s="201"/>
      <c r="R215" s="202">
        <v>42</v>
      </c>
      <c r="S215" s="202" t="s">
        <v>2</v>
      </c>
      <c r="T215" s="202">
        <f>IF(R215&gt;0,IF(RIGHT(Ruimtestaat[[#This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15" s="202">
        <f>IF(T215&gt;0,VLOOKUP($J215,Ruimtegroepen[],3,FALSE)*VLOOKUP($L215,Vloersoorten[],3,FALSE)*VLOOKUP($S215,Frequenties[],3,FALSE)*VLOOKUP($A215,Locaties[],3,FALSE),0)</f>
        <v>0</v>
      </c>
      <c r="V215" s="202">
        <f>Ruimtestaat[[#This Row],[Uitvoeringen werkdagen]]*Ruimtestaat[[#This Row],[Oppervlak (netto)]]</f>
        <v>231.00000000000003</v>
      </c>
      <c r="W215" s="242">
        <f>IF(U215&gt;0,Ruimtestaat[[#This Row],[Prest. (m2 /jaar) werkdagen]]/Ruimtestaat[[#This Row],[Norm (m2/uur) werkdagen]],0)</f>
        <v>0</v>
      </c>
      <c r="X215" s="243">
        <f>Ruimtestaat[[#This Row],[uren / jaar werkdagen]]*Tariefsopbouw!$D$38</f>
        <v>0</v>
      </c>
      <c r="Y215" s="33"/>
      <c r="Z215" s="33">
        <f>IF(Ruimtestaat[[#This Row],[Frequentie weekend]]&gt;0,VALUE(LEFT(Y215,1))*R215,0)</f>
        <v>0</v>
      </c>
      <c r="AA215" s="33">
        <f>IF($Z215&gt;0,VLOOKUP($J215,Ruimtegroepen[],3,FALSE)*VLOOKUP($L215,Vloersoorten[],3,FALSE)*VLOOKUP($Y215,Frequenties[],3,FALSE)*VLOOKUP(#REF!,Locaties[],3,FALSE),0)</f>
        <v>0</v>
      </c>
      <c r="AB215" s="33"/>
      <c r="AC215" s="33"/>
      <c r="AD215" s="33">
        <f>Ruimtestaat[[#This Row],[uren / jaar weekend]]*Tariefsopbouw!$D$40</f>
        <v>0</v>
      </c>
      <c r="AE215" s="86">
        <f>Ruimtestaat[[#This Row],[Prest. (m2 /jaar) weekend]]+Ruimtestaat[[#This Row],[Prest. (m2 /jaar) werkdagen]]</f>
        <v>231.00000000000003</v>
      </c>
      <c r="AF215" s="86">
        <f>Ruimtestaat[[#This Row],[uren / jaar weekend]]+Ruimtestaat[[#This Row],[uren / jaar werkdagen]]</f>
        <v>0</v>
      </c>
      <c r="AG215" s="87">
        <f>Ruimtestaat[[#This Row],[kosten / jaar weekend]]+Ruimtestaat[[#This Row],[kosten / jaar werkdagen]]</f>
        <v>0</v>
      </c>
    </row>
    <row r="216" spans="1:219" ht="15" customHeight="1">
      <c r="A216" s="246">
        <v>2</v>
      </c>
      <c r="B216" s="21" t="str">
        <f>VLOOKUP(Ruimtestaat[[#This Row],[Code]],Locaties[#All],2,FALSE)</f>
        <v>Losser</v>
      </c>
      <c r="C216" s="247" t="str">
        <f>VLOOKUP(Ruimtestaat[[#This Row],[Code]],Locaties[#All],4,FALSE)</f>
        <v>Oranjestraat 2</v>
      </c>
      <c r="D216" s="247" t="str">
        <f>VLOOKUP(Ruimtestaat[[#This Row],[Code]],Locaties[#All],5,FALSE)</f>
        <v>7607 BJ </v>
      </c>
      <c r="E216" s="187" t="str">
        <f>VLOOKUP(Ruimtestaat[[#This Row],[Code]],Locaties[#All],6,FALSE)</f>
        <v>Losser</v>
      </c>
      <c r="F216" s="248"/>
      <c r="G216" s="246">
        <v>1</v>
      </c>
      <c r="H216" s="246" t="s">
        <v>1188</v>
      </c>
      <c r="I216" s="248" t="s">
        <v>549</v>
      </c>
      <c r="J216" s="187">
        <v>6</v>
      </c>
      <c r="K216" s="187" t="str">
        <f>VLOOKUP(Ruimtestaat[[#This Row],[Ruimte code]],Ruimtegroepen[#All],2,FALSE)</f>
        <v>Gangen/hallen</v>
      </c>
      <c r="L216" s="187" t="s">
        <v>109</v>
      </c>
      <c r="M216" s="249" t="s">
        <v>1203</v>
      </c>
      <c r="N216" s="200">
        <v>22.3</v>
      </c>
      <c r="O216" s="190"/>
      <c r="P216" s="231" t="str">
        <f>VLOOKUP(Ruimtestaat[[#This Row],[Ruimte code]],Ruimtegroepen[#All],4,FALSE)</f>
        <v>V  (Verkeersruimte)</v>
      </c>
      <c r="Q216" s="201"/>
      <c r="R216" s="202">
        <v>42</v>
      </c>
      <c r="S216" s="202" t="s">
        <v>2</v>
      </c>
      <c r="T216" s="202">
        <f>IF(R216&gt;0,IF(RIGHT(Ruimtestaat[[#This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16" s="202">
        <f>IF(T216&gt;0,VLOOKUP($J216,Ruimtegroepen[],3,FALSE)*VLOOKUP($L216,Vloersoorten[],3,FALSE)*VLOOKUP($S216,Frequenties[],3,FALSE)*VLOOKUP($A216,Locaties[],3,FALSE),0)</f>
        <v>0</v>
      </c>
      <c r="V216" s="202">
        <f>Ruimtestaat[[#This Row],[Uitvoeringen werkdagen]]*Ruimtestaat[[#This Row],[Oppervlak (netto)]]</f>
        <v>4683</v>
      </c>
      <c r="W216" s="242">
        <f>IF(U216&gt;0,Ruimtestaat[[#This Row],[Prest. (m2 /jaar) werkdagen]]/Ruimtestaat[[#This Row],[Norm (m2/uur) werkdagen]],0)</f>
        <v>0</v>
      </c>
      <c r="X216" s="243">
        <f>Ruimtestaat[[#This Row],[uren / jaar werkdagen]]*Tariefsopbouw!$D$38</f>
        <v>0</v>
      </c>
      <c r="Y216" s="33"/>
      <c r="Z216" s="33">
        <f>IF(Ruimtestaat[[#This Row],[Frequentie weekend]]&gt;0,VALUE(LEFT(Y216,1))*R216,0)</f>
        <v>0</v>
      </c>
      <c r="AA216" s="33">
        <f>IF($Z216&gt;0,VLOOKUP($J216,Ruimtegroepen[],3,FALSE)*VLOOKUP($L216,Vloersoorten[],3,FALSE)*VLOOKUP($Y216,Frequenties[],3,FALSE)*VLOOKUP(#REF!,Locaties[],3,FALSE),0)</f>
        <v>0</v>
      </c>
      <c r="AB216" s="33"/>
      <c r="AC216" s="33"/>
      <c r="AD216" s="33">
        <f>Ruimtestaat[[#This Row],[uren / jaar weekend]]*Tariefsopbouw!$D$40</f>
        <v>0</v>
      </c>
      <c r="AE216" s="86">
        <f>Ruimtestaat[[#This Row],[Prest. (m2 /jaar) weekend]]+Ruimtestaat[[#This Row],[Prest. (m2 /jaar) werkdagen]]</f>
        <v>4683</v>
      </c>
      <c r="AF216" s="86">
        <f>Ruimtestaat[[#This Row],[uren / jaar weekend]]+Ruimtestaat[[#This Row],[uren / jaar werkdagen]]</f>
        <v>0</v>
      </c>
      <c r="AG216" s="87">
        <f>Ruimtestaat[[#This Row],[kosten / jaar weekend]]+Ruimtestaat[[#This Row],[kosten / jaar werkdagen]]</f>
        <v>0</v>
      </c>
    </row>
    <row r="217" spans="1:219" ht="15" customHeight="1">
      <c r="A217" s="246">
        <v>2</v>
      </c>
      <c r="B217" s="21" t="str">
        <f>VLOOKUP(Ruimtestaat[[#This Row],[Code]],Locaties[#All],2,FALSE)</f>
        <v>Losser</v>
      </c>
      <c r="C217" s="247" t="str">
        <f>VLOOKUP(Ruimtestaat[[#This Row],[Code]],Locaties[#All],4,FALSE)</f>
        <v>Oranjestraat 2</v>
      </c>
      <c r="D217" s="247" t="str">
        <f>VLOOKUP(Ruimtestaat[[#This Row],[Code]],Locaties[#All],5,FALSE)</f>
        <v>7607 BJ </v>
      </c>
      <c r="E217" s="187" t="str">
        <f>VLOOKUP(Ruimtestaat[[#This Row],[Code]],Locaties[#All],6,FALSE)</f>
        <v>Losser</v>
      </c>
      <c r="F217" s="248"/>
      <c r="G217" s="246">
        <v>1</v>
      </c>
      <c r="H217" s="246" t="s">
        <v>1189</v>
      </c>
      <c r="I217" s="248" t="s">
        <v>1155</v>
      </c>
      <c r="J217" s="187">
        <v>5</v>
      </c>
      <c r="K217" s="187" t="str">
        <f>VLOOKUP(Ruimtestaat[[#This Row],[Ruimte code]],Ruimtegroepen[#All],2,FALSE)</f>
        <v>Sanitair</v>
      </c>
      <c r="L217" s="202" t="s">
        <v>108</v>
      </c>
      <c r="M217" s="249" t="s">
        <v>1206</v>
      </c>
      <c r="N217" s="200">
        <v>2.9</v>
      </c>
      <c r="O217" s="190"/>
      <c r="P217" s="231" t="str">
        <f>VLOOKUP(Ruimtestaat[[#This Row],[Ruimte code]],Ruimtegroepen[#All],4,FALSE)</f>
        <v>S  (Sanitair)</v>
      </c>
      <c r="Q217" s="201"/>
      <c r="R217" s="202">
        <v>42</v>
      </c>
      <c r="S217" s="202" t="s">
        <v>2</v>
      </c>
      <c r="T217" s="202">
        <f>IF(R217&gt;0,IF(RIGHT(Ruimtestaat[[#This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17" s="202">
        <f>IF(T217&gt;0,VLOOKUP($J217,Ruimtegroepen[],3,FALSE)*VLOOKUP($L217,Vloersoorten[],3,FALSE)*VLOOKUP($S217,Frequenties[],3,FALSE)*VLOOKUP($A217,Locaties[],3,FALSE),0)</f>
        <v>0</v>
      </c>
      <c r="V217" s="202">
        <f>Ruimtestaat[[#This Row],[Uitvoeringen werkdagen]]*Ruimtestaat[[#This Row],[Oppervlak (netto)]]</f>
        <v>609</v>
      </c>
      <c r="W217" s="242">
        <f>IF(U217&gt;0,Ruimtestaat[[#This Row],[Prest. (m2 /jaar) werkdagen]]/Ruimtestaat[[#This Row],[Norm (m2/uur) werkdagen]],0)</f>
        <v>0</v>
      </c>
      <c r="X217" s="243">
        <f>Ruimtestaat[[#This Row],[uren / jaar werkdagen]]*Tariefsopbouw!$D$38</f>
        <v>0</v>
      </c>
      <c r="Y217" s="33"/>
      <c r="Z217" s="33">
        <f>IF(Ruimtestaat[[#This Row],[Frequentie weekend]]&gt;0,VALUE(LEFT(Y217,1))*R217,0)</f>
        <v>0</v>
      </c>
      <c r="AA217" s="33">
        <f>IF($Z217&gt;0,VLOOKUP($J217,Ruimtegroepen[],3,FALSE)*VLOOKUP($L217,Vloersoorten[],3,FALSE)*VLOOKUP($Y217,Frequenties[],3,FALSE)*VLOOKUP(#REF!,Locaties[],3,FALSE),0)</f>
        <v>0</v>
      </c>
      <c r="AB217" s="33"/>
      <c r="AC217" s="33"/>
      <c r="AD217" s="33">
        <f>Ruimtestaat[[#This Row],[uren / jaar weekend]]*Tariefsopbouw!$D$40</f>
        <v>0</v>
      </c>
      <c r="AE217" s="86">
        <f>Ruimtestaat[[#This Row],[Prest. (m2 /jaar) weekend]]+Ruimtestaat[[#This Row],[Prest. (m2 /jaar) werkdagen]]</f>
        <v>609</v>
      </c>
      <c r="AF217" s="86">
        <f>Ruimtestaat[[#This Row],[uren / jaar weekend]]+Ruimtestaat[[#This Row],[uren / jaar werkdagen]]</f>
        <v>0</v>
      </c>
      <c r="AG217" s="87">
        <f>Ruimtestaat[[#This Row],[kosten / jaar weekend]]+Ruimtestaat[[#This Row],[kosten / jaar werkdagen]]</f>
        <v>0</v>
      </c>
    </row>
    <row r="218" spans="1:219" ht="15" customHeight="1">
      <c r="A218" s="246">
        <v>2</v>
      </c>
      <c r="B218" s="21" t="str">
        <f>VLOOKUP(Ruimtestaat[[#This Row],[Code]],Locaties[#All],2,FALSE)</f>
        <v>Losser</v>
      </c>
      <c r="C218" s="247" t="str">
        <f>VLOOKUP(Ruimtestaat[[#This Row],[Code]],Locaties[#All],4,FALSE)</f>
        <v>Oranjestraat 2</v>
      </c>
      <c r="D218" s="247" t="str">
        <f>VLOOKUP(Ruimtestaat[[#This Row],[Code]],Locaties[#All],5,FALSE)</f>
        <v>7607 BJ </v>
      </c>
      <c r="E218" s="187" t="str">
        <f>VLOOKUP(Ruimtestaat[[#This Row],[Code]],Locaties[#All],6,FALSE)</f>
        <v>Losser</v>
      </c>
      <c r="F218" s="248"/>
      <c r="G218" s="246">
        <v>1</v>
      </c>
      <c r="H218" s="246" t="s">
        <v>1190</v>
      </c>
      <c r="I218" s="248" t="s">
        <v>509</v>
      </c>
      <c r="J218" s="187">
        <v>5</v>
      </c>
      <c r="K218" s="187" t="str">
        <f>VLOOKUP(Ruimtestaat[[#This Row],[Ruimte code]],Ruimtegroepen[#All],2,FALSE)</f>
        <v>Sanitair</v>
      </c>
      <c r="L218" s="202" t="s">
        <v>108</v>
      </c>
      <c r="M218" s="249" t="s">
        <v>1206</v>
      </c>
      <c r="N218" s="200">
        <v>1.1000000000000001</v>
      </c>
      <c r="O218" s="190"/>
      <c r="P218" s="231" t="str">
        <f>VLOOKUP(Ruimtestaat[[#This Row],[Ruimte code]],Ruimtegroepen[#All],4,FALSE)</f>
        <v>S  (Sanitair)</v>
      </c>
      <c r="Q218" s="201"/>
      <c r="R218" s="202">
        <v>42</v>
      </c>
      <c r="S218" s="202" t="s">
        <v>2</v>
      </c>
      <c r="T218" s="202">
        <f>IF(R218&gt;0,IF(RIGHT(Ruimtestaat[[#This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18" s="202">
        <f>IF(T218&gt;0,VLOOKUP($J218,Ruimtegroepen[],3,FALSE)*VLOOKUP($L218,Vloersoorten[],3,FALSE)*VLOOKUP($S218,Frequenties[],3,FALSE)*VLOOKUP($A218,Locaties[],3,FALSE),0)</f>
        <v>0</v>
      </c>
      <c r="V218" s="202">
        <f>Ruimtestaat[[#This Row],[Uitvoeringen werkdagen]]*Ruimtestaat[[#This Row],[Oppervlak (netto)]]</f>
        <v>231.00000000000003</v>
      </c>
      <c r="W218" s="242">
        <f>IF(U218&gt;0,Ruimtestaat[[#This Row],[Prest. (m2 /jaar) werkdagen]]/Ruimtestaat[[#This Row],[Norm (m2/uur) werkdagen]],0)</f>
        <v>0</v>
      </c>
      <c r="X218" s="243">
        <f>Ruimtestaat[[#This Row],[uren / jaar werkdagen]]*Tariefsopbouw!$D$38</f>
        <v>0</v>
      </c>
      <c r="Y218" s="33"/>
      <c r="Z218" s="33">
        <f>IF(Ruimtestaat[[#This Row],[Frequentie weekend]]&gt;0,VALUE(LEFT(Y218,1))*R218,0)</f>
        <v>0</v>
      </c>
      <c r="AA218" s="33">
        <f>IF($Z218&gt;0,VLOOKUP($J218,Ruimtegroepen[],3,FALSE)*VLOOKUP($L218,Vloersoorten[],3,FALSE)*VLOOKUP($Y218,Frequenties[],3,FALSE)*VLOOKUP(#REF!,Locaties[],3,FALSE),0)</f>
        <v>0</v>
      </c>
      <c r="AB218" s="33"/>
      <c r="AC218" s="33"/>
      <c r="AD218" s="33">
        <f>Ruimtestaat[[#This Row],[uren / jaar weekend]]*Tariefsopbouw!$D$40</f>
        <v>0</v>
      </c>
      <c r="AE218" s="86">
        <f>Ruimtestaat[[#This Row],[Prest. (m2 /jaar) weekend]]+Ruimtestaat[[#This Row],[Prest. (m2 /jaar) werkdagen]]</f>
        <v>231.00000000000003</v>
      </c>
      <c r="AF218" s="86">
        <f>Ruimtestaat[[#This Row],[uren / jaar weekend]]+Ruimtestaat[[#This Row],[uren / jaar werkdagen]]</f>
        <v>0</v>
      </c>
      <c r="AG218" s="87">
        <f>Ruimtestaat[[#This Row],[kosten / jaar weekend]]+Ruimtestaat[[#This Row],[kosten / jaar werkdagen]]</f>
        <v>0</v>
      </c>
    </row>
    <row r="219" spans="1:219" ht="15" customHeight="1">
      <c r="A219" s="246">
        <v>2</v>
      </c>
      <c r="B219" s="21" t="str">
        <f>VLOOKUP(Ruimtestaat[[#This Row],[Code]],Locaties[#All],2,FALSE)</f>
        <v>Losser</v>
      </c>
      <c r="C219" s="247" t="str">
        <f>VLOOKUP(Ruimtestaat[[#This Row],[Code]],Locaties[#All],4,FALSE)</f>
        <v>Oranjestraat 2</v>
      </c>
      <c r="D219" s="247" t="str">
        <f>VLOOKUP(Ruimtestaat[[#This Row],[Code]],Locaties[#All],5,FALSE)</f>
        <v>7607 BJ </v>
      </c>
      <c r="E219" s="187" t="str">
        <f>VLOOKUP(Ruimtestaat[[#This Row],[Code]],Locaties[#All],6,FALSE)</f>
        <v>Losser</v>
      </c>
      <c r="F219" s="248"/>
      <c r="G219" s="246">
        <v>1</v>
      </c>
      <c r="H219" s="246" t="s">
        <v>1191</v>
      </c>
      <c r="I219" s="248" t="s">
        <v>509</v>
      </c>
      <c r="J219" s="187">
        <v>5</v>
      </c>
      <c r="K219" s="187" t="str">
        <f>VLOOKUP(Ruimtestaat[[#This Row],[Ruimte code]],Ruimtegroepen[#All],2,FALSE)</f>
        <v>Sanitair</v>
      </c>
      <c r="L219" s="202" t="s">
        <v>108</v>
      </c>
      <c r="M219" s="249" t="s">
        <v>1206</v>
      </c>
      <c r="N219" s="200">
        <v>1.1000000000000001</v>
      </c>
      <c r="O219" s="190"/>
      <c r="P219" s="231" t="str">
        <f>VLOOKUP(Ruimtestaat[[#This Row],[Ruimte code]],Ruimtegroepen[#All],4,FALSE)</f>
        <v>S  (Sanitair)</v>
      </c>
      <c r="Q219" s="201"/>
      <c r="R219" s="202">
        <v>42</v>
      </c>
      <c r="S219" s="202" t="s">
        <v>2</v>
      </c>
      <c r="T219" s="202">
        <f>IF(R219&gt;0,IF(RIGHT(Ruimtestaat[[#This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19" s="202">
        <f>IF(T219&gt;0,VLOOKUP($J219,Ruimtegroepen[],3,FALSE)*VLOOKUP($L219,Vloersoorten[],3,FALSE)*VLOOKUP($S219,Frequenties[],3,FALSE)*VLOOKUP($A219,Locaties[],3,FALSE),0)</f>
        <v>0</v>
      </c>
      <c r="V219" s="202">
        <f>Ruimtestaat[[#This Row],[Uitvoeringen werkdagen]]*Ruimtestaat[[#This Row],[Oppervlak (netto)]]</f>
        <v>231.00000000000003</v>
      </c>
      <c r="W219" s="242">
        <f>IF(U219&gt;0,Ruimtestaat[[#This Row],[Prest. (m2 /jaar) werkdagen]]/Ruimtestaat[[#This Row],[Norm (m2/uur) werkdagen]],0)</f>
        <v>0</v>
      </c>
      <c r="X219" s="243">
        <f>Ruimtestaat[[#This Row],[uren / jaar werkdagen]]*Tariefsopbouw!$D$38</f>
        <v>0</v>
      </c>
      <c r="Y219" s="33"/>
      <c r="Z219" s="33">
        <f>IF(Ruimtestaat[[#This Row],[Frequentie weekend]]&gt;0,VALUE(LEFT(Y219,1))*R219,0)</f>
        <v>0</v>
      </c>
      <c r="AA219" s="33">
        <f>IF($Z219&gt;0,VLOOKUP($J219,Ruimtegroepen[],3,FALSE)*VLOOKUP($L219,Vloersoorten[],3,FALSE)*VLOOKUP($Y219,Frequenties[],3,FALSE)*VLOOKUP(#REF!,Locaties[],3,FALSE),0)</f>
        <v>0</v>
      </c>
      <c r="AB219" s="33"/>
      <c r="AC219" s="33"/>
      <c r="AD219" s="33">
        <f>Ruimtestaat[[#This Row],[uren / jaar weekend]]*Tariefsopbouw!$D$40</f>
        <v>0</v>
      </c>
      <c r="AE219" s="86">
        <f>Ruimtestaat[[#This Row],[Prest. (m2 /jaar) weekend]]+Ruimtestaat[[#This Row],[Prest. (m2 /jaar) werkdagen]]</f>
        <v>231.00000000000003</v>
      </c>
      <c r="AF219" s="86">
        <f>Ruimtestaat[[#This Row],[uren / jaar weekend]]+Ruimtestaat[[#This Row],[uren / jaar werkdagen]]</f>
        <v>0</v>
      </c>
      <c r="AG219" s="87">
        <f>Ruimtestaat[[#This Row],[kosten / jaar weekend]]+Ruimtestaat[[#This Row],[kosten / jaar werkdagen]]</f>
        <v>0</v>
      </c>
    </row>
    <row r="220" spans="1:219" ht="15" customHeight="1">
      <c r="A220" s="246">
        <v>2</v>
      </c>
      <c r="B220" s="21" t="str">
        <f>VLOOKUP(Ruimtestaat[[#This Row],[Code]],Locaties[#All],2,FALSE)</f>
        <v>Losser</v>
      </c>
      <c r="C220" s="247" t="str">
        <f>VLOOKUP(Ruimtestaat[[#This Row],[Code]],Locaties[#All],4,FALSE)</f>
        <v>Oranjestraat 2</v>
      </c>
      <c r="D220" s="247" t="str">
        <f>VLOOKUP(Ruimtestaat[[#This Row],[Code]],Locaties[#All],5,FALSE)</f>
        <v>7607 BJ </v>
      </c>
      <c r="E220" s="187" t="str">
        <f>VLOOKUP(Ruimtestaat[[#This Row],[Code]],Locaties[#All],6,FALSE)</f>
        <v>Losser</v>
      </c>
      <c r="F220" s="248"/>
      <c r="G220" s="246">
        <v>1</v>
      </c>
      <c r="H220" s="246" t="s">
        <v>1192</v>
      </c>
      <c r="I220" s="248" t="s">
        <v>1155</v>
      </c>
      <c r="J220" s="187">
        <v>5</v>
      </c>
      <c r="K220" s="187" t="str">
        <f>VLOOKUP(Ruimtestaat[[#This Row],[Ruimte code]],Ruimtegroepen[#All],2,FALSE)</f>
        <v>Sanitair</v>
      </c>
      <c r="L220" s="202" t="s">
        <v>108</v>
      </c>
      <c r="M220" s="249" t="s">
        <v>1206</v>
      </c>
      <c r="N220" s="200">
        <v>2.89</v>
      </c>
      <c r="O220" s="190"/>
      <c r="P220" s="231" t="str">
        <f>VLOOKUP(Ruimtestaat[[#This Row],[Ruimte code]],Ruimtegroepen[#All],4,FALSE)</f>
        <v>S  (Sanitair)</v>
      </c>
      <c r="Q220" s="201"/>
      <c r="R220" s="202">
        <v>42</v>
      </c>
      <c r="S220" s="202" t="s">
        <v>2</v>
      </c>
      <c r="T220" s="202">
        <f>IF(R220&gt;0,IF(RIGHT(Ruimtestaat[[#This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20" s="202">
        <f>IF(T220&gt;0,VLOOKUP($J220,Ruimtegroepen[],3,FALSE)*VLOOKUP($L220,Vloersoorten[],3,FALSE)*VLOOKUP($S220,Frequenties[],3,FALSE)*VLOOKUP($A220,Locaties[],3,FALSE),0)</f>
        <v>0</v>
      </c>
      <c r="V220" s="202">
        <f>Ruimtestaat[[#This Row],[Uitvoeringen werkdagen]]*Ruimtestaat[[#This Row],[Oppervlak (netto)]]</f>
        <v>606.9</v>
      </c>
      <c r="W220" s="242">
        <f>IF(U220&gt;0,Ruimtestaat[[#This Row],[Prest. (m2 /jaar) werkdagen]]/Ruimtestaat[[#This Row],[Norm (m2/uur) werkdagen]],0)</f>
        <v>0</v>
      </c>
      <c r="X220" s="243">
        <f>Ruimtestaat[[#This Row],[uren / jaar werkdagen]]*Tariefsopbouw!$D$38</f>
        <v>0</v>
      </c>
      <c r="Y220" s="33"/>
      <c r="Z220" s="33">
        <f>IF(Ruimtestaat[[#This Row],[Frequentie weekend]]&gt;0,VALUE(LEFT(Y220,1))*R220,0)</f>
        <v>0</v>
      </c>
      <c r="AA220" s="33">
        <f>IF($Z220&gt;0,VLOOKUP($J220,Ruimtegroepen[],3,FALSE)*VLOOKUP($L220,Vloersoorten[],3,FALSE)*VLOOKUP($Y220,Frequenties[],3,FALSE)*VLOOKUP(#REF!,Locaties[],3,FALSE),0)</f>
        <v>0</v>
      </c>
      <c r="AB220" s="33"/>
      <c r="AC220" s="33"/>
      <c r="AD220" s="33">
        <f>Ruimtestaat[[#This Row],[uren / jaar weekend]]*Tariefsopbouw!$D$40</f>
        <v>0</v>
      </c>
      <c r="AE220" s="86">
        <f>Ruimtestaat[[#This Row],[Prest. (m2 /jaar) weekend]]+Ruimtestaat[[#This Row],[Prest. (m2 /jaar) werkdagen]]</f>
        <v>606.9</v>
      </c>
      <c r="AF220" s="86">
        <f>Ruimtestaat[[#This Row],[uren / jaar weekend]]+Ruimtestaat[[#This Row],[uren / jaar werkdagen]]</f>
        <v>0</v>
      </c>
      <c r="AG220" s="87">
        <f>Ruimtestaat[[#This Row],[kosten / jaar weekend]]+Ruimtestaat[[#This Row],[kosten / jaar werkdagen]]</f>
        <v>0</v>
      </c>
    </row>
    <row r="221" spans="1:219" ht="15" customHeight="1">
      <c r="A221" s="246">
        <v>2</v>
      </c>
      <c r="B221" s="21" t="str">
        <f>VLOOKUP(Ruimtestaat[[#This Row],[Code]],Locaties[#All],2,FALSE)</f>
        <v>Losser</v>
      </c>
      <c r="C221" s="247" t="str">
        <f>VLOOKUP(Ruimtestaat[[#This Row],[Code]],Locaties[#All],4,FALSE)</f>
        <v>Oranjestraat 2</v>
      </c>
      <c r="D221" s="247" t="str">
        <f>VLOOKUP(Ruimtestaat[[#This Row],[Code]],Locaties[#All],5,FALSE)</f>
        <v>7607 BJ </v>
      </c>
      <c r="E221" s="187" t="str">
        <f>VLOOKUP(Ruimtestaat[[#This Row],[Code]],Locaties[#All],6,FALSE)</f>
        <v>Losser</v>
      </c>
      <c r="F221" s="248"/>
      <c r="G221" s="246">
        <v>1</v>
      </c>
      <c r="H221" s="246" t="s">
        <v>1193</v>
      </c>
      <c r="I221" s="248" t="s">
        <v>509</v>
      </c>
      <c r="J221" s="187">
        <v>5</v>
      </c>
      <c r="K221" s="187" t="str">
        <f>VLOOKUP(Ruimtestaat[[#This Row],[Ruimte code]],Ruimtegroepen[#All],2,FALSE)</f>
        <v>Sanitair</v>
      </c>
      <c r="L221" s="202" t="s">
        <v>108</v>
      </c>
      <c r="M221" s="249" t="s">
        <v>1206</v>
      </c>
      <c r="N221" s="200">
        <v>1.1000000000000001</v>
      </c>
      <c r="O221" s="190"/>
      <c r="P221" s="231" t="str">
        <f>VLOOKUP(Ruimtestaat[[#This Row],[Ruimte code]],Ruimtegroepen[#All],4,FALSE)</f>
        <v>S  (Sanitair)</v>
      </c>
      <c r="Q221" s="201"/>
      <c r="R221" s="202">
        <v>42</v>
      </c>
      <c r="S221" s="202" t="s">
        <v>2</v>
      </c>
      <c r="T221" s="202">
        <f>IF(R221&gt;0,IF(RIGHT(Ruimtestaat[[#This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21" s="202">
        <f>IF(T221&gt;0,VLOOKUP($J221,Ruimtegroepen[],3,FALSE)*VLOOKUP($L221,Vloersoorten[],3,FALSE)*VLOOKUP($S221,Frequenties[],3,FALSE)*VLOOKUP($A221,Locaties[],3,FALSE),0)</f>
        <v>0</v>
      </c>
      <c r="V221" s="202">
        <f>Ruimtestaat[[#This Row],[Uitvoeringen werkdagen]]*Ruimtestaat[[#This Row],[Oppervlak (netto)]]</f>
        <v>231.00000000000003</v>
      </c>
      <c r="W221" s="242">
        <f>IF(U221&gt;0,Ruimtestaat[[#This Row],[Prest. (m2 /jaar) werkdagen]]/Ruimtestaat[[#This Row],[Norm (m2/uur) werkdagen]],0)</f>
        <v>0</v>
      </c>
      <c r="X221" s="243">
        <f>Ruimtestaat[[#This Row],[uren / jaar werkdagen]]*Tariefsopbouw!$D$38</f>
        <v>0</v>
      </c>
      <c r="Y221" s="33"/>
      <c r="Z221" s="33">
        <f>IF(Ruimtestaat[[#This Row],[Frequentie weekend]]&gt;0,VALUE(LEFT(Y221,1))*R221,0)</f>
        <v>0</v>
      </c>
      <c r="AA221" s="33">
        <f>IF($Z221&gt;0,VLOOKUP($J221,Ruimtegroepen[],3,FALSE)*VLOOKUP($L221,Vloersoorten[],3,FALSE)*VLOOKUP($Y221,Frequenties[],3,FALSE)*VLOOKUP(#REF!,Locaties[],3,FALSE),0)</f>
        <v>0</v>
      </c>
      <c r="AB221" s="33"/>
      <c r="AC221" s="33"/>
      <c r="AD221" s="33">
        <f>Ruimtestaat[[#This Row],[uren / jaar weekend]]*Tariefsopbouw!$D$40</f>
        <v>0</v>
      </c>
      <c r="AE221" s="86">
        <f>Ruimtestaat[[#This Row],[Prest. (m2 /jaar) weekend]]+Ruimtestaat[[#This Row],[Prest. (m2 /jaar) werkdagen]]</f>
        <v>231.00000000000003</v>
      </c>
      <c r="AF221" s="86">
        <f>Ruimtestaat[[#This Row],[uren / jaar weekend]]+Ruimtestaat[[#This Row],[uren / jaar werkdagen]]</f>
        <v>0</v>
      </c>
      <c r="AG221" s="87">
        <f>Ruimtestaat[[#This Row],[kosten / jaar weekend]]+Ruimtestaat[[#This Row],[kosten / jaar werkdagen]]</f>
        <v>0</v>
      </c>
    </row>
    <row r="222" spans="1:219" ht="15" customHeight="1">
      <c r="A222" s="246">
        <v>2</v>
      </c>
      <c r="B222" s="21" t="str">
        <f>VLOOKUP(Ruimtestaat[[#This Row],[Code]],Locaties[#All],2,FALSE)</f>
        <v>Losser</v>
      </c>
      <c r="C222" s="247" t="str">
        <f>VLOOKUP(Ruimtestaat[[#This Row],[Code]],Locaties[#All],4,FALSE)</f>
        <v>Oranjestraat 2</v>
      </c>
      <c r="D222" s="247" t="str">
        <f>VLOOKUP(Ruimtestaat[[#This Row],[Code]],Locaties[#All],5,FALSE)</f>
        <v>7607 BJ </v>
      </c>
      <c r="E222" s="187" t="str">
        <f>VLOOKUP(Ruimtestaat[[#This Row],[Code]],Locaties[#All],6,FALSE)</f>
        <v>Losser</v>
      </c>
      <c r="F222" s="248"/>
      <c r="G222" s="246">
        <v>1</v>
      </c>
      <c r="H222" s="246" t="s">
        <v>1194</v>
      </c>
      <c r="I222" s="248" t="s">
        <v>509</v>
      </c>
      <c r="J222" s="187">
        <v>5</v>
      </c>
      <c r="K222" s="187" t="str">
        <f>VLOOKUP(Ruimtestaat[[#This Row],[Ruimte code]],Ruimtegroepen[#All],2,FALSE)</f>
        <v>Sanitair</v>
      </c>
      <c r="L222" s="202" t="s">
        <v>108</v>
      </c>
      <c r="M222" s="249" t="s">
        <v>1206</v>
      </c>
      <c r="N222" s="200">
        <v>1.1000000000000001</v>
      </c>
      <c r="O222" s="190"/>
      <c r="P222" s="231" t="str">
        <f>VLOOKUP(Ruimtestaat[[#This Row],[Ruimte code]],Ruimtegroepen[#All],4,FALSE)</f>
        <v>S  (Sanitair)</v>
      </c>
      <c r="Q222" s="201"/>
      <c r="R222" s="202">
        <v>42</v>
      </c>
      <c r="S222" s="202" t="s">
        <v>2</v>
      </c>
      <c r="T222" s="202">
        <f>IF(R222&gt;0,IF(RIGHT(Ruimtestaat[[#This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22" s="202">
        <f>IF(T222&gt;0,VLOOKUP($J222,Ruimtegroepen[],3,FALSE)*VLOOKUP($L222,Vloersoorten[],3,FALSE)*VLOOKUP($S222,Frequenties[],3,FALSE)*VLOOKUP($A222,Locaties[],3,FALSE),0)</f>
        <v>0</v>
      </c>
      <c r="V222" s="202">
        <f>Ruimtestaat[[#This Row],[Uitvoeringen werkdagen]]*Ruimtestaat[[#This Row],[Oppervlak (netto)]]</f>
        <v>231.00000000000003</v>
      </c>
      <c r="W222" s="242">
        <f>IF(U222&gt;0,Ruimtestaat[[#This Row],[Prest. (m2 /jaar) werkdagen]]/Ruimtestaat[[#This Row],[Norm (m2/uur) werkdagen]],0)</f>
        <v>0</v>
      </c>
      <c r="X222" s="243">
        <f>Ruimtestaat[[#This Row],[uren / jaar werkdagen]]*Tariefsopbouw!$D$38</f>
        <v>0</v>
      </c>
      <c r="Y222" s="33"/>
      <c r="Z222" s="33">
        <f>IF(Ruimtestaat[[#This Row],[Frequentie weekend]]&gt;0,VALUE(LEFT(Y222,1))*R222,0)</f>
        <v>0</v>
      </c>
      <c r="AA222" s="33">
        <f>IF($Z222&gt;0,VLOOKUP($J222,Ruimtegroepen[],3,FALSE)*VLOOKUP($L222,Vloersoorten[],3,FALSE)*VLOOKUP($Y222,Frequenties[],3,FALSE)*VLOOKUP(#REF!,Locaties[],3,FALSE),0)</f>
        <v>0</v>
      </c>
      <c r="AB222" s="33"/>
      <c r="AC222" s="33"/>
      <c r="AD222" s="33">
        <f>Ruimtestaat[[#This Row],[uren / jaar weekend]]*Tariefsopbouw!$D$40</f>
        <v>0</v>
      </c>
      <c r="AE222" s="86">
        <f>Ruimtestaat[[#This Row],[Prest. (m2 /jaar) weekend]]+Ruimtestaat[[#This Row],[Prest. (m2 /jaar) werkdagen]]</f>
        <v>231.00000000000003</v>
      </c>
      <c r="AF222" s="86">
        <f>Ruimtestaat[[#This Row],[uren / jaar weekend]]+Ruimtestaat[[#This Row],[uren / jaar werkdagen]]</f>
        <v>0</v>
      </c>
      <c r="AG222" s="87">
        <f>Ruimtestaat[[#This Row],[kosten / jaar weekend]]+Ruimtestaat[[#This Row],[kosten / jaar werkdagen]]</f>
        <v>0</v>
      </c>
    </row>
    <row r="223" spans="1:219" ht="15" customHeight="1">
      <c r="A223" s="246">
        <v>2</v>
      </c>
      <c r="B223" s="21" t="str">
        <f>VLOOKUP(Ruimtestaat[[#This Row],[Code]],Locaties[#All],2,FALSE)</f>
        <v>Losser</v>
      </c>
      <c r="C223" s="247" t="str">
        <f>VLOOKUP(Ruimtestaat[[#This Row],[Code]],Locaties[#All],4,FALSE)</f>
        <v>Oranjestraat 2</v>
      </c>
      <c r="D223" s="247" t="str">
        <f>VLOOKUP(Ruimtestaat[[#This Row],[Code]],Locaties[#All],5,FALSE)</f>
        <v>7607 BJ </v>
      </c>
      <c r="E223" s="187" t="str">
        <f>VLOOKUP(Ruimtestaat[[#This Row],[Code]],Locaties[#All],6,FALSE)</f>
        <v>Losser</v>
      </c>
      <c r="F223" s="248"/>
      <c r="G223" s="246">
        <v>1</v>
      </c>
      <c r="H223" s="246" t="s">
        <v>1195</v>
      </c>
      <c r="I223" s="248" t="s">
        <v>523</v>
      </c>
      <c r="J223" s="187">
        <v>1</v>
      </c>
      <c r="K223" s="187" t="str">
        <f>VLOOKUP(Ruimtestaat[[#This Row],[Ruimte code]],Ruimtegroepen[#All],2,FALSE)</f>
        <v>Magazijnen/bergingen</v>
      </c>
      <c r="L223" s="187" t="s">
        <v>109</v>
      </c>
      <c r="M223" s="249" t="s">
        <v>1203</v>
      </c>
      <c r="N223" s="200">
        <v>3.6</v>
      </c>
      <c r="O223" s="190"/>
      <c r="P223" s="231" t="str">
        <f>VLOOKUP(Ruimtestaat[[#This Row],[Ruimte code]],Ruimtegroepen[#All],4,FALSE)</f>
        <v>V  (Verkeersruimte)</v>
      </c>
      <c r="Q223" s="201"/>
      <c r="R223" s="202">
        <v>42</v>
      </c>
      <c r="S223" s="202" t="s">
        <v>15</v>
      </c>
      <c r="T223" s="202">
        <f>IF(R223&gt;0,IF(RIGHT(Ruimtestaat[[#This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223" s="202">
        <f>IF(T223&gt;0,VLOOKUP($J223,Ruimtegroepen[],3,FALSE)*VLOOKUP($L223,Vloersoorten[],3,FALSE)*VLOOKUP($S223,Frequenties[],3,FALSE)*VLOOKUP($A223,Locaties[],3,FALSE),0)</f>
        <v>0</v>
      </c>
      <c r="V223" s="202">
        <f>Ruimtestaat[[#This Row],[Uitvoeringen werkdagen]]*Ruimtestaat[[#This Row],[Oppervlak (netto)]]</f>
        <v>151.20000000000002</v>
      </c>
      <c r="W223" s="242">
        <f>IF(U223&gt;0,Ruimtestaat[[#This Row],[Prest. (m2 /jaar) werkdagen]]/Ruimtestaat[[#This Row],[Norm (m2/uur) werkdagen]],0)</f>
        <v>0</v>
      </c>
      <c r="X223" s="243">
        <f>Ruimtestaat[[#This Row],[uren / jaar werkdagen]]*Tariefsopbouw!$D$38</f>
        <v>0</v>
      </c>
      <c r="Y223" s="33"/>
      <c r="Z223" s="33">
        <f>IF(Ruimtestaat[[#This Row],[Frequentie weekend]]&gt;0,VALUE(LEFT(Y223,1))*R223,0)</f>
        <v>0</v>
      </c>
      <c r="AA223" s="33">
        <f>IF($Z223&gt;0,VLOOKUP($J223,Ruimtegroepen[],3,FALSE)*VLOOKUP($L223,Vloersoorten[],3,FALSE)*VLOOKUP($Y223,Frequenties[],3,FALSE)*VLOOKUP(#REF!,Locaties[],3,FALSE),0)</f>
        <v>0</v>
      </c>
      <c r="AB223" s="33"/>
      <c r="AC223" s="33"/>
      <c r="AD223" s="33">
        <f>Ruimtestaat[[#This Row],[uren / jaar weekend]]*Tariefsopbouw!$D$40</f>
        <v>0</v>
      </c>
      <c r="AE223" s="86">
        <f>Ruimtestaat[[#This Row],[Prest. (m2 /jaar) weekend]]+Ruimtestaat[[#This Row],[Prest. (m2 /jaar) werkdagen]]</f>
        <v>151.20000000000002</v>
      </c>
      <c r="AF223" s="86">
        <f>Ruimtestaat[[#This Row],[uren / jaar weekend]]+Ruimtestaat[[#This Row],[uren / jaar werkdagen]]</f>
        <v>0</v>
      </c>
      <c r="AG223" s="87">
        <f>Ruimtestaat[[#This Row],[kosten / jaar weekend]]+Ruimtestaat[[#This Row],[kosten / jaar werkdagen]]</f>
        <v>0</v>
      </c>
    </row>
    <row r="224" spans="1:219" ht="15" customHeight="1">
      <c r="A224" s="246">
        <v>2</v>
      </c>
      <c r="B224" s="21" t="str">
        <f>VLOOKUP(Ruimtestaat[[#This Row],[Code]],Locaties[#All],2,FALSE)</f>
        <v>Losser</v>
      </c>
      <c r="C224" s="247" t="str">
        <f>VLOOKUP(Ruimtestaat[[#This Row],[Code]],Locaties[#All],4,FALSE)</f>
        <v>Oranjestraat 2</v>
      </c>
      <c r="D224" s="247" t="str">
        <f>VLOOKUP(Ruimtestaat[[#This Row],[Code]],Locaties[#All],5,FALSE)</f>
        <v>7607 BJ </v>
      </c>
      <c r="E224" s="187" t="str">
        <f>VLOOKUP(Ruimtestaat[[#This Row],[Code]],Locaties[#All],6,FALSE)</f>
        <v>Losser</v>
      </c>
      <c r="F224" s="248"/>
      <c r="G224" s="246">
        <v>1</v>
      </c>
      <c r="H224" s="246" t="s">
        <v>1196</v>
      </c>
      <c r="I224" s="248" t="s">
        <v>581</v>
      </c>
      <c r="J224" s="187">
        <v>4</v>
      </c>
      <c r="K224" s="187" t="str">
        <f>VLOOKUP(Ruimtestaat[[#This Row],[Ruimte code]],Ruimtegroepen[#All],2,FALSE)</f>
        <v>Vergader/spreekkamers</v>
      </c>
      <c r="L224" s="187" t="s">
        <v>109</v>
      </c>
      <c r="M224" s="249" t="s">
        <v>1203</v>
      </c>
      <c r="N224" s="200">
        <v>10.7</v>
      </c>
      <c r="O224" s="190"/>
      <c r="P224" s="231" t="str">
        <f>VLOOKUP(Ruimtestaat[[#This Row],[Ruimte code]],Ruimtegroepen[#All],4,FALSE)</f>
        <v>B  (Bureauruimte)</v>
      </c>
      <c r="Q224" s="201"/>
      <c r="R224" s="202">
        <v>42</v>
      </c>
      <c r="S224" s="202" t="s">
        <v>2</v>
      </c>
      <c r="T224" s="202">
        <f>IF(R224&gt;0,IF(RIGHT(Ruimtestaat[[#This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24" s="202">
        <f>IF(T224&gt;0,VLOOKUP($J224,Ruimtegroepen[],3,FALSE)*VLOOKUP($L224,Vloersoorten[],3,FALSE)*VLOOKUP($S224,Frequenties[],3,FALSE)*VLOOKUP($A224,Locaties[],3,FALSE),0)</f>
        <v>0</v>
      </c>
      <c r="V224" s="202">
        <f>Ruimtestaat[[#This Row],[Uitvoeringen werkdagen]]*Ruimtestaat[[#This Row],[Oppervlak (netto)]]</f>
        <v>2247</v>
      </c>
      <c r="W224" s="242">
        <f>IF(U224&gt;0,Ruimtestaat[[#This Row],[Prest. (m2 /jaar) werkdagen]]/Ruimtestaat[[#This Row],[Norm (m2/uur) werkdagen]],0)</f>
        <v>0</v>
      </c>
      <c r="X224" s="243">
        <f>Ruimtestaat[[#This Row],[uren / jaar werkdagen]]*Tariefsopbouw!$D$38</f>
        <v>0</v>
      </c>
      <c r="Y224" s="33"/>
      <c r="Z224" s="33">
        <f>IF(Ruimtestaat[[#This Row],[Frequentie weekend]]&gt;0,VALUE(LEFT(Y224,1))*R224,0)</f>
        <v>0</v>
      </c>
      <c r="AA224" s="33">
        <f>IF($Z224&gt;0,VLOOKUP($J224,Ruimtegroepen[],3,FALSE)*VLOOKUP($L224,Vloersoorten[],3,FALSE)*VLOOKUP($Y224,Frequenties[],3,FALSE)*VLOOKUP(#REF!,Locaties[],3,FALSE),0)</f>
        <v>0</v>
      </c>
      <c r="AB224" s="33"/>
      <c r="AC224" s="33"/>
      <c r="AD224" s="33">
        <f>Ruimtestaat[[#This Row],[uren / jaar weekend]]*Tariefsopbouw!$D$40</f>
        <v>0</v>
      </c>
      <c r="AE224" s="86">
        <f>Ruimtestaat[[#This Row],[Prest. (m2 /jaar) weekend]]+Ruimtestaat[[#This Row],[Prest. (m2 /jaar) werkdagen]]</f>
        <v>2247</v>
      </c>
      <c r="AF224" s="86">
        <f>Ruimtestaat[[#This Row],[uren / jaar weekend]]+Ruimtestaat[[#This Row],[uren / jaar werkdagen]]</f>
        <v>0</v>
      </c>
      <c r="AG224" s="87">
        <f>Ruimtestaat[[#This Row],[kosten / jaar weekend]]+Ruimtestaat[[#This Row],[kosten / jaar werkdagen]]</f>
        <v>0</v>
      </c>
    </row>
    <row r="225" spans="1:33" ht="15" customHeight="1">
      <c r="A225" s="246">
        <v>2</v>
      </c>
      <c r="B225" s="21" t="str">
        <f>VLOOKUP(Ruimtestaat[[#This Row],[Code]],Locaties[#All],2,FALSE)</f>
        <v>Losser</v>
      </c>
      <c r="C225" s="247" t="str">
        <f>VLOOKUP(Ruimtestaat[[#This Row],[Code]],Locaties[#All],4,FALSE)</f>
        <v>Oranjestraat 2</v>
      </c>
      <c r="D225" s="247" t="str">
        <f>VLOOKUP(Ruimtestaat[[#This Row],[Code]],Locaties[#All],5,FALSE)</f>
        <v>7607 BJ </v>
      </c>
      <c r="E225" s="187" t="str">
        <f>VLOOKUP(Ruimtestaat[[#This Row],[Code]],Locaties[#All],6,FALSE)</f>
        <v>Losser</v>
      </c>
      <c r="F225" s="248"/>
      <c r="G225" s="246">
        <v>1</v>
      </c>
      <c r="H225" s="246" t="s">
        <v>1197</v>
      </c>
      <c r="I225" s="248" t="s">
        <v>1198</v>
      </c>
      <c r="J225" s="247">
        <v>4</v>
      </c>
      <c r="K225" s="247" t="str">
        <f>VLOOKUP(Ruimtestaat[[#This Row],[Ruimte code]],Ruimtegroepen[#All],2,FALSE)</f>
        <v>Vergader/spreekkamers</v>
      </c>
      <c r="L225" s="187" t="s">
        <v>109</v>
      </c>
      <c r="M225" s="249" t="s">
        <v>1203</v>
      </c>
      <c r="N225" s="200">
        <v>8.4</v>
      </c>
      <c r="O225" s="190"/>
      <c r="P225" s="231" t="str">
        <f>VLOOKUP(Ruimtestaat[[#This Row],[Ruimte code]],Ruimtegroepen[#All],4,FALSE)</f>
        <v>B  (Bureauruimte)</v>
      </c>
      <c r="Q225" s="201"/>
      <c r="R225" s="202">
        <v>42</v>
      </c>
      <c r="S225" s="202" t="s">
        <v>2</v>
      </c>
      <c r="T225" s="202">
        <f>IF(R225&gt;0,IF(RIGHT(Ruimtestaat[[#This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25" s="202">
        <f>IF(T225&gt;0,VLOOKUP($J225,Ruimtegroepen[],3,FALSE)*VLOOKUP($L225,Vloersoorten[],3,FALSE)*VLOOKUP($S225,Frequenties[],3,FALSE)*VLOOKUP($A225,Locaties[],3,FALSE),0)</f>
        <v>0</v>
      </c>
      <c r="V225" s="202">
        <f>Ruimtestaat[[#This Row],[Uitvoeringen werkdagen]]*Ruimtestaat[[#This Row],[Oppervlak (netto)]]</f>
        <v>1764</v>
      </c>
      <c r="W225" s="242">
        <f>IF(U225&gt;0,Ruimtestaat[[#This Row],[Prest. (m2 /jaar) werkdagen]]/Ruimtestaat[[#This Row],[Norm (m2/uur) werkdagen]],0)</f>
        <v>0</v>
      </c>
      <c r="X225" s="243">
        <f>Ruimtestaat[[#This Row],[uren / jaar werkdagen]]*Tariefsopbouw!$D$38</f>
        <v>0</v>
      </c>
      <c r="Y225" s="33"/>
      <c r="Z225" s="33">
        <f>IF(Ruimtestaat[[#This Row],[Frequentie weekend]]&gt;0,VALUE(LEFT(Y225,1))*R225,0)</f>
        <v>0</v>
      </c>
      <c r="AA225" s="33">
        <f>IF($Z225&gt;0,VLOOKUP($J225,Ruimtegroepen[],3,FALSE)*VLOOKUP($L225,Vloersoorten[],3,FALSE)*VLOOKUP($Y225,Frequenties[],3,FALSE)*VLOOKUP(#REF!,Locaties[],3,FALSE),0)</f>
        <v>0</v>
      </c>
      <c r="AB225" s="33"/>
      <c r="AC225" s="33"/>
      <c r="AD225" s="33">
        <f>Ruimtestaat[[#This Row],[uren / jaar weekend]]*Tariefsopbouw!$D$40</f>
        <v>0</v>
      </c>
      <c r="AE225" s="86">
        <f>Ruimtestaat[[#This Row],[Prest. (m2 /jaar) weekend]]+Ruimtestaat[[#This Row],[Prest. (m2 /jaar) werkdagen]]</f>
        <v>1764</v>
      </c>
      <c r="AF225" s="86">
        <f>Ruimtestaat[[#This Row],[uren / jaar weekend]]+Ruimtestaat[[#This Row],[uren / jaar werkdagen]]</f>
        <v>0</v>
      </c>
      <c r="AG225" s="87">
        <f>Ruimtestaat[[#This Row],[kosten / jaar weekend]]+Ruimtestaat[[#This Row],[kosten / jaar werkdagen]]</f>
        <v>0</v>
      </c>
    </row>
    <row r="226" spans="1:33" ht="15" customHeight="1">
      <c r="A226" s="246">
        <v>2</v>
      </c>
      <c r="B226" s="21" t="str">
        <f>VLOOKUP(Ruimtestaat[[#This Row],[Code]],Locaties[#All],2,FALSE)</f>
        <v>Losser</v>
      </c>
      <c r="C226" s="247" t="str">
        <f>VLOOKUP(Ruimtestaat[[#This Row],[Code]],Locaties[#All],4,FALSE)</f>
        <v>Oranjestraat 2</v>
      </c>
      <c r="D226" s="247" t="str">
        <f>VLOOKUP(Ruimtestaat[[#This Row],[Code]],Locaties[#All],5,FALSE)</f>
        <v>7607 BJ </v>
      </c>
      <c r="E226" s="187" t="str">
        <f>VLOOKUP(Ruimtestaat[[#This Row],[Code]],Locaties[#All],6,FALSE)</f>
        <v>Losser</v>
      </c>
      <c r="F226" s="248"/>
      <c r="G226" s="246">
        <v>1</v>
      </c>
      <c r="H226" s="246" t="s">
        <v>1199</v>
      </c>
      <c r="I226" s="248" t="s">
        <v>523</v>
      </c>
      <c r="J226" s="187">
        <v>1</v>
      </c>
      <c r="K226" s="187" t="str">
        <f>VLOOKUP(Ruimtestaat[[#This Row],[Ruimte code]],Ruimtegroepen[#All],2,FALSE)</f>
        <v>Magazijnen/bergingen</v>
      </c>
      <c r="L226" s="187" t="s">
        <v>109</v>
      </c>
      <c r="M226" s="249" t="s">
        <v>1203</v>
      </c>
      <c r="N226" s="200">
        <v>11</v>
      </c>
      <c r="O226" s="190"/>
      <c r="P226" s="231" t="str">
        <f>VLOOKUP(Ruimtestaat[[#This Row],[Ruimte code]],Ruimtegroepen[#All],4,FALSE)</f>
        <v>V  (Verkeersruimte)</v>
      </c>
      <c r="Q226" s="201"/>
      <c r="R226" s="202">
        <v>42</v>
      </c>
      <c r="S226" s="202" t="s">
        <v>15</v>
      </c>
      <c r="T226" s="202">
        <f>IF(R226&gt;0,IF(RIGHT(Ruimtestaat[[#This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226" s="202">
        <f>IF(T226&gt;0,VLOOKUP($J226,Ruimtegroepen[],3,FALSE)*VLOOKUP($L226,Vloersoorten[],3,FALSE)*VLOOKUP($S226,Frequenties[],3,FALSE)*VLOOKUP($A226,Locaties[],3,FALSE),0)</f>
        <v>0</v>
      </c>
      <c r="V226" s="202">
        <f>Ruimtestaat[[#This Row],[Uitvoeringen werkdagen]]*Ruimtestaat[[#This Row],[Oppervlak (netto)]]</f>
        <v>462</v>
      </c>
      <c r="W226" s="242">
        <f>IF(U226&gt;0,Ruimtestaat[[#This Row],[Prest. (m2 /jaar) werkdagen]]/Ruimtestaat[[#This Row],[Norm (m2/uur) werkdagen]],0)</f>
        <v>0</v>
      </c>
      <c r="X226" s="243">
        <f>Ruimtestaat[[#This Row],[uren / jaar werkdagen]]*Tariefsopbouw!$D$38</f>
        <v>0</v>
      </c>
      <c r="Y226" s="33"/>
      <c r="Z226" s="33">
        <f>IF(Ruimtestaat[[#This Row],[Frequentie weekend]]&gt;0,VALUE(LEFT(Y226,1))*R226,0)</f>
        <v>0</v>
      </c>
      <c r="AA226" s="33">
        <f>IF($Z226&gt;0,VLOOKUP($J226,Ruimtegroepen[],3,FALSE)*VLOOKUP($L226,Vloersoorten[],3,FALSE)*VLOOKUP($Y226,Frequenties[],3,FALSE)*VLOOKUP(#REF!,Locaties[],3,FALSE),0)</f>
        <v>0</v>
      </c>
      <c r="AB226" s="33"/>
      <c r="AC226" s="33"/>
      <c r="AD226" s="33">
        <f>Ruimtestaat[[#This Row],[uren / jaar weekend]]*Tariefsopbouw!$D$40</f>
        <v>0</v>
      </c>
      <c r="AE226" s="86">
        <f>Ruimtestaat[[#This Row],[Prest. (m2 /jaar) weekend]]+Ruimtestaat[[#This Row],[Prest. (m2 /jaar) werkdagen]]</f>
        <v>462</v>
      </c>
      <c r="AF226" s="86">
        <f>Ruimtestaat[[#This Row],[uren / jaar weekend]]+Ruimtestaat[[#This Row],[uren / jaar werkdagen]]</f>
        <v>0</v>
      </c>
      <c r="AG226" s="87">
        <f>Ruimtestaat[[#This Row],[kosten / jaar weekend]]+Ruimtestaat[[#This Row],[kosten / jaar werkdagen]]</f>
        <v>0</v>
      </c>
    </row>
    <row r="227" spans="1:33" ht="15" customHeight="1">
      <c r="A227" s="125">
        <v>3</v>
      </c>
      <c r="B227" s="21" t="str">
        <f>VLOOKUP(Ruimtestaat[[#This Row],[Code]],Locaties[#All],2,FALSE)</f>
        <v>Denekamp</v>
      </c>
      <c r="C227" s="21" t="str">
        <f>VLOOKUP(Ruimtestaat[[#This Row],[Code]],Locaties[#All],4,FALSE)</f>
        <v>Oranjestraat 23</v>
      </c>
      <c r="D227" s="21" t="str">
        <f>VLOOKUP(Ruimtestaat[[#This Row],[Code]],Locaties[#All],5,FALSE)</f>
        <v>7607 BH</v>
      </c>
      <c r="E227" s="187" t="str">
        <f>VLOOKUP(Ruimtestaat[[#This Row],[Code]],Locaties[#All],6,FALSE)</f>
        <v>Denekamp</v>
      </c>
      <c r="F227" s="187"/>
      <c r="G227" s="202" t="s">
        <v>679</v>
      </c>
      <c r="H227" s="202" t="s">
        <v>407</v>
      </c>
      <c r="I227" s="241" t="s">
        <v>680</v>
      </c>
      <c r="J227" s="202">
        <v>16</v>
      </c>
      <c r="K227" s="202" t="str">
        <f>VLOOKUP(Ruimtestaat[[#This Row],[Ruimte code]],Ruimtegroepen[#All],2,FALSE)</f>
        <v>Leslokalen/computerlokaal</v>
      </c>
      <c r="L227" s="202" t="s">
        <v>677</v>
      </c>
      <c r="M227" s="187" t="s">
        <v>1200</v>
      </c>
      <c r="N227" s="200">
        <v>96</v>
      </c>
      <c r="O227" s="202"/>
      <c r="P227" s="231" t="str">
        <f>VLOOKUP(Ruimtestaat[[#This Row],[Ruimte code]],Ruimtegroepen[#All],4,FALSE)</f>
        <v>L  (Lesruimte)</v>
      </c>
      <c r="Q227" s="201"/>
      <c r="R227" s="202">
        <v>42</v>
      </c>
      <c r="S227" s="202" t="s">
        <v>2</v>
      </c>
      <c r="T227" s="202">
        <f>IF(R227&gt;0,IF(RIGHT(Ruimtestaat[[#This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27" s="202">
        <f>IF(T227&gt;0,VLOOKUP($J227,Ruimtegroepen[],3,FALSE)*VLOOKUP($L227,Vloersoorten[],3,FALSE)*VLOOKUP($S227,Frequenties[],3,FALSE)*VLOOKUP($A227,Locaties[],3,FALSE),0)</f>
        <v>0</v>
      </c>
      <c r="V227" s="202">
        <f>Ruimtestaat[[#This Row],[Uitvoeringen werkdagen]]*Ruimtestaat[[#This Row],[Oppervlak (netto)]]</f>
        <v>20160</v>
      </c>
      <c r="W227" s="242">
        <f>IF(U227&gt;0,Ruimtestaat[[#This Row],[Prest. (m2 /jaar) werkdagen]]/Ruimtestaat[[#This Row],[Norm (m2/uur) werkdagen]],0)</f>
        <v>0</v>
      </c>
      <c r="X227" s="243">
        <f>Ruimtestaat[[#This Row],[uren / jaar werkdagen]]*Tariefsopbouw!$D$38</f>
        <v>0</v>
      </c>
      <c r="Y227" s="33"/>
      <c r="Z227" s="33">
        <f>IF(Ruimtestaat[[#This Row],[Frequentie weekend]]&gt;0,VALUE(LEFT(Y227,1))*R227,0)</f>
        <v>0</v>
      </c>
      <c r="AA227" s="33">
        <f>IF($Z227&gt;0,VLOOKUP($J227,Ruimtegroepen[],3,FALSE)*VLOOKUP($L227,Vloersoorten[],3,FALSE)*VLOOKUP($Y227,Frequenties[],3,FALSE)*VLOOKUP(#REF!,Locaties[],3,FALSE),0)</f>
        <v>0</v>
      </c>
      <c r="AB227" s="33"/>
      <c r="AC227" s="33"/>
      <c r="AD227" s="33">
        <f>Ruimtestaat[[#This Row],[uren / jaar weekend]]*Tariefsopbouw!$D$40</f>
        <v>0</v>
      </c>
      <c r="AE227" s="86">
        <f>Ruimtestaat[[#This Row],[Prest. (m2 /jaar) weekend]]+Ruimtestaat[[#This Row],[Prest. (m2 /jaar) werkdagen]]</f>
        <v>20160</v>
      </c>
      <c r="AF227" s="86">
        <f>Ruimtestaat[[#This Row],[uren / jaar weekend]]+Ruimtestaat[[#This Row],[uren / jaar werkdagen]]</f>
        <v>0</v>
      </c>
      <c r="AG227" s="87">
        <f>Ruimtestaat[[#This Row],[kosten / jaar weekend]]+Ruimtestaat[[#This Row],[kosten / jaar werkdagen]]</f>
        <v>0</v>
      </c>
    </row>
    <row r="228" spans="1:33" ht="15" customHeight="1">
      <c r="A228" s="125">
        <v>3</v>
      </c>
      <c r="B228" s="21" t="str">
        <f>VLOOKUP(Ruimtestaat[[#This Row],[Code]],Locaties[#All],2,FALSE)</f>
        <v>Denekamp</v>
      </c>
      <c r="C228" s="21" t="str">
        <f>VLOOKUP(Ruimtestaat[[#This Row],[Code]],Locaties[#All],4,FALSE)</f>
        <v>Oranjestraat 23</v>
      </c>
      <c r="D228" s="21" t="str">
        <f>VLOOKUP(Ruimtestaat[[#This Row],[Code]],Locaties[#All],5,FALSE)</f>
        <v>7607 BH</v>
      </c>
      <c r="E228" s="187" t="str">
        <f>VLOOKUP(Ruimtestaat[[#This Row],[Code]],Locaties[#All],6,FALSE)</f>
        <v>Denekamp</v>
      </c>
      <c r="F228" s="187"/>
      <c r="G228" s="202" t="s">
        <v>679</v>
      </c>
      <c r="H228" s="202" t="s">
        <v>681</v>
      </c>
      <c r="I228" s="241" t="s">
        <v>682</v>
      </c>
      <c r="J228" s="202">
        <v>16</v>
      </c>
      <c r="K228" s="202" t="str">
        <f>VLOOKUP(Ruimtestaat[[#This Row],[Ruimte code]],Ruimtegroepen[#All],2,FALSE)</f>
        <v>Leslokalen/computerlokaal</v>
      </c>
      <c r="L228" s="202" t="s">
        <v>677</v>
      </c>
      <c r="M228" s="187" t="s">
        <v>1200</v>
      </c>
      <c r="N228" s="200">
        <v>66</v>
      </c>
      <c r="O228" s="200"/>
      <c r="P228" s="231" t="str">
        <f>VLOOKUP(Ruimtestaat[[#This Row],[Ruimte code]],Ruimtegroepen[#All],4,FALSE)</f>
        <v>L  (Lesruimte)</v>
      </c>
      <c r="Q228" s="201"/>
      <c r="R228" s="202">
        <v>42</v>
      </c>
      <c r="S228" s="202" t="s">
        <v>2</v>
      </c>
      <c r="T228" s="202">
        <f>IF(R228&gt;0,IF(RIGHT(Ruimtestaat[[#This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28" s="202">
        <f>IF(T228&gt;0,VLOOKUP($J228,Ruimtegroepen[],3,FALSE)*VLOOKUP($L228,Vloersoorten[],3,FALSE)*VLOOKUP($S228,Frequenties[],3,FALSE)*VLOOKUP($A228,Locaties[],3,FALSE),0)</f>
        <v>0</v>
      </c>
      <c r="V228" s="202">
        <f>Ruimtestaat[[#This Row],[Uitvoeringen werkdagen]]*Ruimtestaat[[#This Row],[Oppervlak (netto)]]</f>
        <v>13860</v>
      </c>
      <c r="W228" s="242">
        <f>IF(U228&gt;0,Ruimtestaat[[#This Row],[Prest. (m2 /jaar) werkdagen]]/Ruimtestaat[[#This Row],[Norm (m2/uur) werkdagen]],0)</f>
        <v>0</v>
      </c>
      <c r="X228" s="243">
        <f>Ruimtestaat[[#This Row],[uren / jaar werkdagen]]*Tariefsopbouw!$D$38</f>
        <v>0</v>
      </c>
      <c r="Y228" s="33"/>
      <c r="Z228" s="33">
        <f>IF(Ruimtestaat[[#This Row],[Frequentie weekend]]&gt;0,VALUE(LEFT(Y228,1))*R228,0)</f>
        <v>0</v>
      </c>
      <c r="AA228" s="33">
        <f>IF($Z228&gt;0,VLOOKUP($J228,Ruimtegroepen[],3,FALSE)*VLOOKUP($L228,Vloersoorten[],3,FALSE)*VLOOKUP($Y228,Frequenties[],3,FALSE)*VLOOKUP(#REF!,Locaties[],3,FALSE),0)</f>
        <v>0</v>
      </c>
      <c r="AB228" s="33"/>
      <c r="AC228" s="33"/>
      <c r="AD228" s="33">
        <f>Ruimtestaat[[#This Row],[uren / jaar weekend]]*Tariefsopbouw!$D$40</f>
        <v>0</v>
      </c>
      <c r="AE228" s="86">
        <f>Ruimtestaat[[#This Row],[Prest. (m2 /jaar) weekend]]+Ruimtestaat[[#This Row],[Prest. (m2 /jaar) werkdagen]]</f>
        <v>13860</v>
      </c>
      <c r="AF228" s="86">
        <f>Ruimtestaat[[#This Row],[uren / jaar weekend]]+Ruimtestaat[[#This Row],[uren / jaar werkdagen]]</f>
        <v>0</v>
      </c>
      <c r="AG228" s="87">
        <f>Ruimtestaat[[#This Row],[kosten / jaar weekend]]+Ruimtestaat[[#This Row],[kosten / jaar werkdagen]]</f>
        <v>0</v>
      </c>
    </row>
    <row r="229" spans="1:33" ht="15" customHeight="1">
      <c r="A229" s="125">
        <v>3</v>
      </c>
      <c r="B229" s="21" t="str">
        <f>VLOOKUP(Ruimtestaat[[#This Row],[Code]],Locaties[#All],2,FALSE)</f>
        <v>Denekamp</v>
      </c>
      <c r="C229" s="21" t="str">
        <f>VLOOKUP(Ruimtestaat[[#This Row],[Code]],Locaties[#All],4,FALSE)</f>
        <v>Oranjestraat 23</v>
      </c>
      <c r="D229" s="21" t="str">
        <f>VLOOKUP(Ruimtestaat[[#This Row],[Code]],Locaties[#All],5,FALSE)</f>
        <v>7607 BH</v>
      </c>
      <c r="E229" s="187" t="str">
        <f>VLOOKUP(Ruimtestaat[[#This Row],[Code]],Locaties[#All],6,FALSE)</f>
        <v>Denekamp</v>
      </c>
      <c r="F229" s="232"/>
      <c r="G229" s="202" t="s">
        <v>679</v>
      </c>
      <c r="H229" s="187" t="s">
        <v>416</v>
      </c>
      <c r="I229" s="232" t="s">
        <v>683</v>
      </c>
      <c r="J229" s="187">
        <v>5</v>
      </c>
      <c r="K229" s="187" t="str">
        <f>VLOOKUP(Ruimtestaat[[#This Row],[Ruimte code]],Ruimtegroepen[#All],2,FALSE)</f>
        <v>Sanitair</v>
      </c>
      <c r="L229" s="202" t="s">
        <v>108</v>
      </c>
      <c r="M229" s="187" t="s">
        <v>1201</v>
      </c>
      <c r="N229" s="200">
        <v>8</v>
      </c>
      <c r="O229" s="200"/>
      <c r="P229" s="231" t="str">
        <f>VLOOKUP(Ruimtestaat[[#This Row],[Ruimte code]],Ruimtegroepen[#All],4,FALSE)</f>
        <v>S  (Sanitair)</v>
      </c>
      <c r="Q229" s="201"/>
      <c r="R229" s="202">
        <v>42</v>
      </c>
      <c r="S229" s="202" t="s">
        <v>2</v>
      </c>
      <c r="T229" s="202">
        <f>IF(R229&gt;0,IF(RIGHT(Ruimtestaat[[#This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29" s="202">
        <f>IF(T229&gt;0,VLOOKUP($J229,Ruimtegroepen[],3,FALSE)*VLOOKUP($L229,Vloersoorten[],3,FALSE)*VLOOKUP($S229,Frequenties[],3,FALSE)*VLOOKUP($A229,Locaties[],3,FALSE),0)</f>
        <v>0</v>
      </c>
      <c r="V229" s="202">
        <f>Ruimtestaat[[#This Row],[Uitvoeringen werkdagen]]*Ruimtestaat[[#This Row],[Oppervlak (netto)]]</f>
        <v>1680</v>
      </c>
      <c r="W229" s="242">
        <f>IF(U229&gt;0,Ruimtestaat[[#This Row],[Prest. (m2 /jaar) werkdagen]]/Ruimtestaat[[#This Row],[Norm (m2/uur) werkdagen]],0)</f>
        <v>0</v>
      </c>
      <c r="X229" s="243">
        <f>Ruimtestaat[[#This Row],[uren / jaar werkdagen]]*Tariefsopbouw!$D$38</f>
        <v>0</v>
      </c>
      <c r="Y229" s="33"/>
      <c r="Z229" s="33">
        <f>IF(Ruimtestaat[[#This Row],[Frequentie weekend]]&gt;0,VALUE(LEFT(Y229,1))*R229,0)</f>
        <v>0</v>
      </c>
      <c r="AA229" s="33">
        <f>IF($Z229&gt;0,VLOOKUP($J229,Ruimtegroepen[],3,FALSE)*VLOOKUP($L229,Vloersoorten[],3,FALSE)*VLOOKUP($Y229,Frequenties[],3,FALSE)*VLOOKUP(#REF!,Locaties[],3,FALSE),0)</f>
        <v>0</v>
      </c>
      <c r="AB229" s="33"/>
      <c r="AC229" s="33"/>
      <c r="AD229" s="33">
        <f>Ruimtestaat[[#This Row],[uren / jaar weekend]]*Tariefsopbouw!$D$40</f>
        <v>0</v>
      </c>
      <c r="AE229" s="86">
        <f>Ruimtestaat[[#This Row],[Prest. (m2 /jaar) weekend]]+Ruimtestaat[[#This Row],[Prest. (m2 /jaar) werkdagen]]</f>
        <v>1680</v>
      </c>
      <c r="AF229" s="86">
        <f>Ruimtestaat[[#This Row],[uren / jaar weekend]]+Ruimtestaat[[#This Row],[uren / jaar werkdagen]]</f>
        <v>0</v>
      </c>
      <c r="AG229" s="87">
        <f>Ruimtestaat[[#This Row],[kosten / jaar weekend]]+Ruimtestaat[[#This Row],[kosten / jaar werkdagen]]</f>
        <v>0</v>
      </c>
    </row>
    <row r="230" spans="1:33" ht="15" customHeight="1">
      <c r="A230" s="125">
        <v>3</v>
      </c>
      <c r="B230" s="21" t="str">
        <f>VLOOKUP(Ruimtestaat[[#This Row],[Code]],Locaties[#All],2,FALSE)</f>
        <v>Denekamp</v>
      </c>
      <c r="C230" s="21" t="str">
        <f>VLOOKUP(Ruimtestaat[[#This Row],[Code]],Locaties[#All],4,FALSE)</f>
        <v>Oranjestraat 23</v>
      </c>
      <c r="D230" s="21" t="str">
        <f>VLOOKUP(Ruimtestaat[[#This Row],[Code]],Locaties[#All],5,FALSE)</f>
        <v>7607 BH</v>
      </c>
      <c r="E230" s="187" t="str">
        <f>VLOOKUP(Ruimtestaat[[#This Row],[Code]],Locaties[#All],6,FALSE)</f>
        <v>Denekamp</v>
      </c>
      <c r="F230" s="232"/>
      <c r="G230" s="202" t="s">
        <v>679</v>
      </c>
      <c r="H230" s="187" t="s">
        <v>421</v>
      </c>
      <c r="I230" s="232" t="s">
        <v>414</v>
      </c>
      <c r="J230" s="187">
        <v>6</v>
      </c>
      <c r="K230" s="187" t="str">
        <f>VLOOKUP(Ruimtestaat[[#This Row],[Ruimte code]],Ruimtegroepen[#All],2,FALSE)</f>
        <v>Gangen/hallen</v>
      </c>
      <c r="L230" s="202" t="s">
        <v>108</v>
      </c>
      <c r="M230" s="187" t="s">
        <v>1202</v>
      </c>
      <c r="N230" s="200">
        <v>58</v>
      </c>
      <c r="O230" s="200"/>
      <c r="P230" s="231" t="str">
        <f>VLOOKUP(Ruimtestaat[[#This Row],[Ruimte code]],Ruimtegroepen[#All],4,FALSE)</f>
        <v>V  (Verkeersruimte)</v>
      </c>
      <c r="Q230" s="201"/>
      <c r="R230" s="202">
        <v>42</v>
      </c>
      <c r="S230" s="202" t="s">
        <v>2</v>
      </c>
      <c r="T230" s="202">
        <f>IF(R230&gt;0,IF(RIGHT(Ruimtestaat[[#This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30" s="202">
        <f>IF(T230&gt;0,VLOOKUP($J230,Ruimtegroepen[],3,FALSE)*VLOOKUP($L230,Vloersoorten[],3,FALSE)*VLOOKUP($S230,Frequenties[],3,FALSE)*VLOOKUP($A230,Locaties[],3,FALSE),0)</f>
        <v>0</v>
      </c>
      <c r="V230" s="202">
        <f>Ruimtestaat[[#This Row],[Uitvoeringen werkdagen]]*Ruimtestaat[[#This Row],[Oppervlak (netto)]]</f>
        <v>12180</v>
      </c>
      <c r="W230" s="242">
        <f>IF(U230&gt;0,Ruimtestaat[[#This Row],[Prest. (m2 /jaar) werkdagen]]/Ruimtestaat[[#This Row],[Norm (m2/uur) werkdagen]],0)</f>
        <v>0</v>
      </c>
      <c r="X230" s="243">
        <f>Ruimtestaat[[#This Row],[uren / jaar werkdagen]]*Tariefsopbouw!$D$38</f>
        <v>0</v>
      </c>
      <c r="Y230" s="33"/>
      <c r="Z230" s="33">
        <f>IF(Ruimtestaat[[#This Row],[Frequentie weekend]]&gt;0,VALUE(LEFT(Y230,1))*R230,0)</f>
        <v>0</v>
      </c>
      <c r="AA230" s="33">
        <f>IF($Z230&gt;0,VLOOKUP($J230,Ruimtegroepen[],3,FALSE)*VLOOKUP($L230,Vloersoorten[],3,FALSE)*VLOOKUP($Y230,Frequenties[],3,FALSE)*VLOOKUP(#REF!,Locaties[],3,FALSE),0)</f>
        <v>0</v>
      </c>
      <c r="AB230" s="33"/>
      <c r="AC230" s="33"/>
      <c r="AD230" s="33">
        <f>Ruimtestaat[[#This Row],[uren / jaar weekend]]*Tariefsopbouw!$D$40</f>
        <v>0</v>
      </c>
      <c r="AE230" s="86">
        <f>Ruimtestaat[[#This Row],[Prest. (m2 /jaar) weekend]]+Ruimtestaat[[#This Row],[Prest. (m2 /jaar) werkdagen]]</f>
        <v>12180</v>
      </c>
      <c r="AF230" s="86">
        <f>Ruimtestaat[[#This Row],[uren / jaar weekend]]+Ruimtestaat[[#This Row],[uren / jaar werkdagen]]</f>
        <v>0</v>
      </c>
      <c r="AG230" s="87">
        <f>Ruimtestaat[[#This Row],[kosten / jaar weekend]]+Ruimtestaat[[#This Row],[kosten / jaar werkdagen]]</f>
        <v>0</v>
      </c>
    </row>
    <row r="231" spans="1:33" ht="15" customHeight="1">
      <c r="A231" s="125">
        <v>3</v>
      </c>
      <c r="B231" s="21" t="str">
        <f>VLOOKUP(Ruimtestaat[[#This Row],[Code]],Locaties[#All],2,FALSE)</f>
        <v>Denekamp</v>
      </c>
      <c r="C231" s="21" t="str">
        <f>VLOOKUP(Ruimtestaat[[#This Row],[Code]],Locaties[#All],4,FALSE)</f>
        <v>Oranjestraat 23</v>
      </c>
      <c r="D231" s="21" t="str">
        <f>VLOOKUP(Ruimtestaat[[#This Row],[Code]],Locaties[#All],5,FALSE)</f>
        <v>7607 BH</v>
      </c>
      <c r="E231" s="187" t="str">
        <f>VLOOKUP(Ruimtestaat[[#This Row],[Code]],Locaties[#All],6,FALSE)</f>
        <v>Denekamp</v>
      </c>
      <c r="F231" s="232"/>
      <c r="G231" s="202" t="s">
        <v>679</v>
      </c>
      <c r="H231" s="187" t="s">
        <v>423</v>
      </c>
      <c r="I231" s="232" t="s">
        <v>414</v>
      </c>
      <c r="J231" s="187">
        <v>6</v>
      </c>
      <c r="K231" s="187" t="str">
        <f>VLOOKUP(Ruimtestaat[[#This Row],[Ruimte code]],Ruimtegroepen[#All],2,FALSE)</f>
        <v>Gangen/hallen</v>
      </c>
      <c r="L231" s="187" t="s">
        <v>109</v>
      </c>
      <c r="M231" s="187" t="s">
        <v>1203</v>
      </c>
      <c r="N231" s="200">
        <v>18</v>
      </c>
      <c r="O231" s="200"/>
      <c r="P231" s="231" t="str">
        <f>VLOOKUP(Ruimtestaat[[#This Row],[Ruimte code]],Ruimtegroepen[#All],4,FALSE)</f>
        <v>V  (Verkeersruimte)</v>
      </c>
      <c r="Q231" s="201"/>
      <c r="R231" s="202">
        <v>42</v>
      </c>
      <c r="S231" s="202" t="s">
        <v>2</v>
      </c>
      <c r="T231" s="202">
        <f>IF(R231&gt;0,IF(RIGHT(Ruimtestaat[[#This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31" s="202">
        <f>IF(T231&gt;0,VLOOKUP($J231,Ruimtegroepen[],3,FALSE)*VLOOKUP($L231,Vloersoorten[],3,FALSE)*VLOOKUP($S231,Frequenties[],3,FALSE)*VLOOKUP($A231,Locaties[],3,FALSE),0)</f>
        <v>0</v>
      </c>
      <c r="V231" s="202">
        <f>Ruimtestaat[[#This Row],[Uitvoeringen werkdagen]]*Ruimtestaat[[#This Row],[Oppervlak (netto)]]</f>
        <v>3780</v>
      </c>
      <c r="W231" s="242">
        <f>IF(U231&gt;0,Ruimtestaat[[#This Row],[Prest. (m2 /jaar) werkdagen]]/Ruimtestaat[[#This Row],[Norm (m2/uur) werkdagen]],0)</f>
        <v>0</v>
      </c>
      <c r="X231" s="243">
        <f>Ruimtestaat[[#This Row],[uren / jaar werkdagen]]*Tariefsopbouw!$D$38</f>
        <v>0</v>
      </c>
      <c r="Y231" s="33"/>
      <c r="Z231" s="33">
        <f>IF(Ruimtestaat[[#This Row],[Frequentie weekend]]&gt;0,VALUE(LEFT(Y231,1))*R231,0)</f>
        <v>0</v>
      </c>
      <c r="AA231" s="33">
        <f>IF($Z231&gt;0,VLOOKUP($J231,Ruimtegroepen[],3,FALSE)*VLOOKUP($L231,Vloersoorten[],3,FALSE)*VLOOKUP($Y231,Frequenties[],3,FALSE)*VLOOKUP(#REF!,Locaties[],3,FALSE),0)</f>
        <v>0</v>
      </c>
      <c r="AB231" s="33"/>
      <c r="AC231" s="33"/>
      <c r="AD231" s="33">
        <f>Ruimtestaat[[#This Row],[uren / jaar weekend]]*Tariefsopbouw!$D$40</f>
        <v>0</v>
      </c>
      <c r="AE231" s="86">
        <f>Ruimtestaat[[#This Row],[Prest. (m2 /jaar) weekend]]+Ruimtestaat[[#This Row],[Prest. (m2 /jaar) werkdagen]]</f>
        <v>3780</v>
      </c>
      <c r="AF231" s="86">
        <f>Ruimtestaat[[#This Row],[uren / jaar weekend]]+Ruimtestaat[[#This Row],[uren / jaar werkdagen]]</f>
        <v>0</v>
      </c>
      <c r="AG231" s="87">
        <f>Ruimtestaat[[#This Row],[kosten / jaar weekend]]+Ruimtestaat[[#This Row],[kosten / jaar werkdagen]]</f>
        <v>0</v>
      </c>
    </row>
    <row r="232" spans="1:33" ht="15" customHeight="1">
      <c r="A232" s="125">
        <v>3</v>
      </c>
      <c r="B232" s="21" t="str">
        <f>VLOOKUP(Ruimtestaat[[#This Row],[Code]],Locaties[#All],2,FALSE)</f>
        <v>Denekamp</v>
      </c>
      <c r="C232" s="21" t="str">
        <f>VLOOKUP(Ruimtestaat[[#This Row],[Code]],Locaties[#All],4,FALSE)</f>
        <v>Oranjestraat 23</v>
      </c>
      <c r="D232" s="21" t="str">
        <f>VLOOKUP(Ruimtestaat[[#This Row],[Code]],Locaties[#All],5,FALSE)</f>
        <v>7607 BH</v>
      </c>
      <c r="E232" s="187" t="str">
        <f>VLOOKUP(Ruimtestaat[[#This Row],[Code]],Locaties[#All],6,FALSE)</f>
        <v>Denekamp</v>
      </c>
      <c r="F232" s="232"/>
      <c r="G232" s="202" t="s">
        <v>679</v>
      </c>
      <c r="H232" s="187" t="s">
        <v>684</v>
      </c>
      <c r="I232" s="232" t="s">
        <v>683</v>
      </c>
      <c r="J232" s="187">
        <v>5</v>
      </c>
      <c r="K232" s="187" t="str">
        <f>VLOOKUP(Ruimtestaat[[#This Row],[Ruimte code]],Ruimtegroepen[#All],2,FALSE)</f>
        <v>Sanitair</v>
      </c>
      <c r="L232" s="187" t="s">
        <v>109</v>
      </c>
      <c r="M232" s="187" t="s">
        <v>1203</v>
      </c>
      <c r="N232" s="200">
        <v>11</v>
      </c>
      <c r="O232" s="200"/>
      <c r="P232" s="231" t="str">
        <f>VLOOKUP(Ruimtestaat[[#This Row],[Ruimte code]],Ruimtegroepen[#All],4,FALSE)</f>
        <v>S  (Sanitair)</v>
      </c>
      <c r="Q232" s="201"/>
      <c r="R232" s="202">
        <v>42</v>
      </c>
      <c r="S232" s="202" t="s">
        <v>2</v>
      </c>
      <c r="T232" s="202">
        <f>IF(R232&gt;0,IF(RIGHT(Ruimtestaat[[#This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32" s="202">
        <f>IF(T232&gt;0,VLOOKUP($J232,Ruimtegroepen[],3,FALSE)*VLOOKUP($L232,Vloersoorten[],3,FALSE)*VLOOKUP($S232,Frequenties[],3,FALSE)*VLOOKUP($A232,Locaties[],3,FALSE),0)</f>
        <v>0</v>
      </c>
      <c r="V232" s="202">
        <f>Ruimtestaat[[#This Row],[Uitvoeringen werkdagen]]*Ruimtestaat[[#This Row],[Oppervlak (netto)]]</f>
        <v>2310</v>
      </c>
      <c r="W232" s="242">
        <f>IF(U232&gt;0,Ruimtestaat[[#This Row],[Prest. (m2 /jaar) werkdagen]]/Ruimtestaat[[#This Row],[Norm (m2/uur) werkdagen]],0)</f>
        <v>0</v>
      </c>
      <c r="X232" s="243">
        <f>Ruimtestaat[[#This Row],[uren / jaar werkdagen]]*Tariefsopbouw!$D$38</f>
        <v>0</v>
      </c>
      <c r="Y232" s="33"/>
      <c r="Z232" s="33">
        <f>IF(Ruimtestaat[[#This Row],[Frequentie weekend]]&gt;0,VALUE(LEFT(Y232,1))*R232,0)</f>
        <v>0</v>
      </c>
      <c r="AA232" s="33">
        <f>IF($Z232&gt;0,VLOOKUP($J232,Ruimtegroepen[],3,FALSE)*VLOOKUP($L232,Vloersoorten[],3,FALSE)*VLOOKUP($Y232,Frequenties[],3,FALSE)*VLOOKUP(#REF!,Locaties[],3,FALSE),0)</f>
        <v>0</v>
      </c>
      <c r="AB232" s="33"/>
      <c r="AC232" s="33"/>
      <c r="AD232" s="33">
        <f>Ruimtestaat[[#This Row],[uren / jaar weekend]]*Tariefsopbouw!$D$40</f>
        <v>0</v>
      </c>
      <c r="AE232" s="86">
        <f>Ruimtestaat[[#This Row],[Prest. (m2 /jaar) weekend]]+Ruimtestaat[[#This Row],[Prest. (m2 /jaar) werkdagen]]</f>
        <v>2310</v>
      </c>
      <c r="AF232" s="86">
        <f>Ruimtestaat[[#This Row],[uren / jaar weekend]]+Ruimtestaat[[#This Row],[uren / jaar werkdagen]]</f>
        <v>0</v>
      </c>
      <c r="AG232" s="87">
        <f>Ruimtestaat[[#This Row],[kosten / jaar weekend]]+Ruimtestaat[[#This Row],[kosten / jaar werkdagen]]</f>
        <v>0</v>
      </c>
    </row>
    <row r="233" spans="1:33" ht="15" customHeight="1">
      <c r="A233" s="125">
        <v>3</v>
      </c>
      <c r="B233" s="21" t="str">
        <f>VLOOKUP(Ruimtestaat[[#This Row],[Code]],Locaties[#All],2,FALSE)</f>
        <v>Denekamp</v>
      </c>
      <c r="C233" s="21" t="str">
        <f>VLOOKUP(Ruimtestaat[[#This Row],[Code]],Locaties[#All],4,FALSE)</f>
        <v>Oranjestraat 23</v>
      </c>
      <c r="D233" s="21" t="str">
        <f>VLOOKUP(Ruimtestaat[[#This Row],[Code]],Locaties[#All],5,FALSE)</f>
        <v>7607 BH</v>
      </c>
      <c r="E233" s="187" t="str">
        <f>VLOOKUP(Ruimtestaat[[#This Row],[Code]],Locaties[#All],6,FALSE)</f>
        <v>Denekamp</v>
      </c>
      <c r="F233" s="232"/>
      <c r="G233" s="202" t="s">
        <v>679</v>
      </c>
      <c r="H233" s="187" t="s">
        <v>429</v>
      </c>
      <c r="I233" s="232" t="s">
        <v>596</v>
      </c>
      <c r="J233" s="187">
        <v>10</v>
      </c>
      <c r="K233" s="187" t="str">
        <f>VLOOKUP(Ruimtestaat[[#This Row],[Ruimte code]],Ruimtegroepen[#All],2,FALSE)</f>
        <v>Trappenhuizen/lift</v>
      </c>
      <c r="L233" s="202" t="s">
        <v>108</v>
      </c>
      <c r="M233" s="187" t="s">
        <v>1202</v>
      </c>
      <c r="N233" s="200">
        <v>36</v>
      </c>
      <c r="O233" s="200"/>
      <c r="P233" s="231" t="str">
        <f>VLOOKUP(Ruimtestaat[[#This Row],[Ruimte code]],Ruimtegroepen[#All],4,FALSE)</f>
        <v>V  (Verkeersruimte)</v>
      </c>
      <c r="Q233" s="201"/>
      <c r="R233" s="202">
        <v>42</v>
      </c>
      <c r="S233" s="202" t="s">
        <v>2</v>
      </c>
      <c r="T233" s="202">
        <f>IF(R233&gt;0,IF(RIGHT(Ruimtestaat[[#This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33" s="202">
        <f>IF(T233&gt;0,VLOOKUP($J233,Ruimtegroepen[],3,FALSE)*VLOOKUP($L233,Vloersoorten[],3,FALSE)*VLOOKUP($S233,Frequenties[],3,FALSE)*VLOOKUP($A233,Locaties[],3,FALSE),0)</f>
        <v>0</v>
      </c>
      <c r="V233" s="202">
        <f>Ruimtestaat[[#This Row],[Uitvoeringen werkdagen]]*Ruimtestaat[[#This Row],[Oppervlak (netto)]]</f>
        <v>7560</v>
      </c>
      <c r="W233" s="242">
        <f>IF(U233&gt;0,Ruimtestaat[[#This Row],[Prest. (m2 /jaar) werkdagen]]/Ruimtestaat[[#This Row],[Norm (m2/uur) werkdagen]],0)</f>
        <v>0</v>
      </c>
      <c r="X233" s="243">
        <f>Ruimtestaat[[#This Row],[uren / jaar werkdagen]]*Tariefsopbouw!$D$38</f>
        <v>0</v>
      </c>
      <c r="Y233" s="33"/>
      <c r="Z233" s="33">
        <f>IF(Ruimtestaat[[#This Row],[Frequentie weekend]]&gt;0,VALUE(LEFT(Y233,1))*R233,0)</f>
        <v>0</v>
      </c>
      <c r="AA233" s="33">
        <f>IF($Z233&gt;0,VLOOKUP($J233,Ruimtegroepen[],3,FALSE)*VLOOKUP($L233,Vloersoorten[],3,FALSE)*VLOOKUP($Y233,Frequenties[],3,FALSE)*VLOOKUP(#REF!,Locaties[],3,FALSE),0)</f>
        <v>0</v>
      </c>
      <c r="AB233" s="33"/>
      <c r="AC233" s="33"/>
      <c r="AD233" s="33">
        <f>Ruimtestaat[[#This Row],[uren / jaar weekend]]*Tariefsopbouw!$D$40</f>
        <v>0</v>
      </c>
      <c r="AE233" s="86">
        <f>Ruimtestaat[[#This Row],[Prest. (m2 /jaar) weekend]]+Ruimtestaat[[#This Row],[Prest. (m2 /jaar) werkdagen]]</f>
        <v>7560</v>
      </c>
      <c r="AF233" s="86">
        <f>Ruimtestaat[[#This Row],[uren / jaar weekend]]+Ruimtestaat[[#This Row],[uren / jaar werkdagen]]</f>
        <v>0</v>
      </c>
      <c r="AG233" s="87">
        <f>Ruimtestaat[[#This Row],[kosten / jaar weekend]]+Ruimtestaat[[#This Row],[kosten / jaar werkdagen]]</f>
        <v>0</v>
      </c>
    </row>
    <row r="234" spans="1:33" ht="15" customHeight="1">
      <c r="A234" s="125">
        <v>3</v>
      </c>
      <c r="B234" s="21" t="str">
        <f>VLOOKUP(Ruimtestaat[[#This Row],[Code]],Locaties[#All],2,FALSE)</f>
        <v>Denekamp</v>
      </c>
      <c r="C234" s="21" t="str">
        <f>VLOOKUP(Ruimtestaat[[#This Row],[Code]],Locaties[#All],4,FALSE)</f>
        <v>Oranjestraat 23</v>
      </c>
      <c r="D234" s="21" t="str">
        <f>VLOOKUP(Ruimtestaat[[#This Row],[Code]],Locaties[#All],5,FALSE)</f>
        <v>7607 BH</v>
      </c>
      <c r="E234" s="187" t="str">
        <f>VLOOKUP(Ruimtestaat[[#This Row],[Code]],Locaties[#All],6,FALSE)</f>
        <v>Denekamp</v>
      </c>
      <c r="F234" s="232"/>
      <c r="G234" s="202" t="s">
        <v>679</v>
      </c>
      <c r="H234" s="187" t="s">
        <v>685</v>
      </c>
      <c r="I234" s="232" t="s">
        <v>414</v>
      </c>
      <c r="J234" s="187">
        <v>6</v>
      </c>
      <c r="K234" s="187" t="str">
        <f>VLOOKUP(Ruimtestaat[[#This Row],[Ruimte code]],Ruimtegroepen[#All],2,FALSE)</f>
        <v>Gangen/hallen</v>
      </c>
      <c r="L234" s="187" t="s">
        <v>677</v>
      </c>
      <c r="M234" s="187" t="s">
        <v>1200</v>
      </c>
      <c r="N234" s="200">
        <v>115</v>
      </c>
      <c r="O234" s="200"/>
      <c r="P234" s="231" t="str">
        <f>VLOOKUP(Ruimtestaat[[#This Row],[Ruimte code]],Ruimtegroepen[#All],4,FALSE)</f>
        <v>V  (Verkeersruimte)</v>
      </c>
      <c r="Q234" s="201"/>
      <c r="R234" s="202">
        <v>42</v>
      </c>
      <c r="S234" s="202" t="s">
        <v>2</v>
      </c>
      <c r="T234" s="202">
        <f>IF(R234&gt;0,IF(RIGHT(Ruimtestaat[[#This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34" s="202">
        <f>IF(T234&gt;0,VLOOKUP($J234,Ruimtegroepen[],3,FALSE)*VLOOKUP($L234,Vloersoorten[],3,FALSE)*VLOOKUP($S234,Frequenties[],3,FALSE)*VLOOKUP($A234,Locaties[],3,FALSE),0)</f>
        <v>0</v>
      </c>
      <c r="V234" s="202">
        <f>Ruimtestaat[[#This Row],[Uitvoeringen werkdagen]]*Ruimtestaat[[#This Row],[Oppervlak (netto)]]</f>
        <v>24150</v>
      </c>
      <c r="W234" s="242">
        <f>IF(U234&gt;0,Ruimtestaat[[#This Row],[Prest. (m2 /jaar) werkdagen]]/Ruimtestaat[[#This Row],[Norm (m2/uur) werkdagen]],0)</f>
        <v>0</v>
      </c>
      <c r="X234" s="243">
        <f>Ruimtestaat[[#This Row],[uren / jaar werkdagen]]*Tariefsopbouw!$D$38</f>
        <v>0</v>
      </c>
      <c r="Y234" s="33"/>
      <c r="Z234" s="33">
        <f>IF(Ruimtestaat[[#This Row],[Frequentie weekend]]&gt;0,VALUE(LEFT(Y234,1))*R234,0)</f>
        <v>0</v>
      </c>
      <c r="AA234" s="33">
        <f>IF($Z234&gt;0,VLOOKUP($J234,Ruimtegroepen[],3,FALSE)*VLOOKUP($L234,Vloersoorten[],3,FALSE)*VLOOKUP($Y234,Frequenties[],3,FALSE)*VLOOKUP(#REF!,Locaties[],3,FALSE),0)</f>
        <v>0</v>
      </c>
      <c r="AB234" s="33"/>
      <c r="AC234" s="33"/>
      <c r="AD234" s="33">
        <f>Ruimtestaat[[#This Row],[uren / jaar weekend]]*Tariefsopbouw!$D$40</f>
        <v>0</v>
      </c>
      <c r="AE234" s="86">
        <f>Ruimtestaat[[#This Row],[Prest. (m2 /jaar) weekend]]+Ruimtestaat[[#This Row],[Prest. (m2 /jaar) werkdagen]]</f>
        <v>24150</v>
      </c>
      <c r="AF234" s="86">
        <f>Ruimtestaat[[#This Row],[uren / jaar weekend]]+Ruimtestaat[[#This Row],[uren / jaar werkdagen]]</f>
        <v>0</v>
      </c>
      <c r="AG234" s="87">
        <f>Ruimtestaat[[#This Row],[kosten / jaar weekend]]+Ruimtestaat[[#This Row],[kosten / jaar werkdagen]]</f>
        <v>0</v>
      </c>
    </row>
    <row r="235" spans="1:33" ht="15" customHeight="1">
      <c r="A235" s="125">
        <v>3</v>
      </c>
      <c r="B235" s="21" t="str">
        <f>VLOOKUP(Ruimtestaat[[#This Row],[Code]],Locaties[#All],2,FALSE)</f>
        <v>Denekamp</v>
      </c>
      <c r="C235" s="21" t="str">
        <f>VLOOKUP(Ruimtestaat[[#This Row],[Code]],Locaties[#All],4,FALSE)</f>
        <v>Oranjestraat 23</v>
      </c>
      <c r="D235" s="21" t="str">
        <f>VLOOKUP(Ruimtestaat[[#This Row],[Code]],Locaties[#All],5,FALSE)</f>
        <v>7607 BH</v>
      </c>
      <c r="E235" s="187" t="str">
        <f>VLOOKUP(Ruimtestaat[[#This Row],[Code]],Locaties[#All],6,FALSE)</f>
        <v>Denekamp</v>
      </c>
      <c r="F235" s="232"/>
      <c r="G235" s="202" t="s">
        <v>679</v>
      </c>
      <c r="H235" s="187" t="s">
        <v>441</v>
      </c>
      <c r="I235" s="232" t="s">
        <v>686</v>
      </c>
      <c r="J235" s="187">
        <v>16</v>
      </c>
      <c r="K235" s="187" t="str">
        <f>VLOOKUP(Ruimtestaat[[#This Row],[Ruimte code]],Ruimtegroepen[#All],2,FALSE)</f>
        <v>Leslokalen/computerlokaal</v>
      </c>
      <c r="L235" s="187" t="s">
        <v>1204</v>
      </c>
      <c r="M235" s="187" t="s">
        <v>1205</v>
      </c>
      <c r="N235" s="200">
        <v>68</v>
      </c>
      <c r="O235" s="200"/>
      <c r="P235" s="231" t="str">
        <f>VLOOKUP(Ruimtestaat[[#This Row],[Ruimte code]],Ruimtegroepen[#All],4,FALSE)</f>
        <v>L  (Lesruimte)</v>
      </c>
      <c r="Q235" s="201"/>
      <c r="R235" s="202">
        <v>42</v>
      </c>
      <c r="S235" s="202" t="s">
        <v>2</v>
      </c>
      <c r="T235" s="202">
        <f>IF(R235&gt;0,IF(RIGHT(Ruimtestaat[[#This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35" s="202">
        <f>IF(T235&gt;0,VLOOKUP($J235,Ruimtegroepen[],3,FALSE)*VLOOKUP($L235,Vloersoorten[],3,FALSE)*VLOOKUP($S235,Frequenties[],3,FALSE)*VLOOKUP($A235,Locaties[],3,FALSE),0)</f>
        <v>0</v>
      </c>
      <c r="V235" s="202">
        <f>Ruimtestaat[[#This Row],[Uitvoeringen werkdagen]]*Ruimtestaat[[#This Row],[Oppervlak (netto)]]</f>
        <v>14280</v>
      </c>
      <c r="W235" s="242">
        <f>IF(U235&gt;0,Ruimtestaat[[#This Row],[Prest. (m2 /jaar) werkdagen]]/Ruimtestaat[[#This Row],[Norm (m2/uur) werkdagen]],0)</f>
        <v>0</v>
      </c>
      <c r="X235" s="243">
        <f>Ruimtestaat[[#This Row],[uren / jaar werkdagen]]*Tariefsopbouw!$D$38</f>
        <v>0</v>
      </c>
      <c r="Y235" s="33"/>
      <c r="Z235" s="33">
        <f>IF(Ruimtestaat[[#This Row],[Frequentie weekend]]&gt;0,VALUE(LEFT(Y235,1))*R235,0)</f>
        <v>0</v>
      </c>
      <c r="AA235" s="33">
        <f>IF($Z235&gt;0,VLOOKUP($J235,Ruimtegroepen[],3,FALSE)*VLOOKUP($L235,Vloersoorten[],3,FALSE)*VLOOKUP($Y235,Frequenties[],3,FALSE)*VLOOKUP(#REF!,Locaties[],3,FALSE),0)</f>
        <v>0</v>
      </c>
      <c r="AB235" s="33"/>
      <c r="AC235" s="33"/>
      <c r="AD235" s="33">
        <f>Ruimtestaat[[#This Row],[uren / jaar weekend]]*Tariefsopbouw!$D$40</f>
        <v>0</v>
      </c>
      <c r="AE235" s="86">
        <f>Ruimtestaat[[#This Row],[Prest. (m2 /jaar) weekend]]+Ruimtestaat[[#This Row],[Prest. (m2 /jaar) werkdagen]]</f>
        <v>14280</v>
      </c>
      <c r="AF235" s="86">
        <f>Ruimtestaat[[#This Row],[uren / jaar weekend]]+Ruimtestaat[[#This Row],[uren / jaar werkdagen]]</f>
        <v>0</v>
      </c>
      <c r="AG235" s="87">
        <f>Ruimtestaat[[#This Row],[kosten / jaar weekend]]+Ruimtestaat[[#This Row],[kosten / jaar werkdagen]]</f>
        <v>0</v>
      </c>
    </row>
    <row r="236" spans="1:33" ht="15" customHeight="1">
      <c r="A236" s="125">
        <v>3</v>
      </c>
      <c r="B236" s="21" t="str">
        <f>VLOOKUP(Ruimtestaat[[#This Row],[Code]],Locaties[#All],2,FALSE)</f>
        <v>Denekamp</v>
      </c>
      <c r="C236" s="21" t="str">
        <f>VLOOKUP(Ruimtestaat[[#This Row],[Code]],Locaties[#All],4,FALSE)</f>
        <v>Oranjestraat 23</v>
      </c>
      <c r="D236" s="21" t="str">
        <f>VLOOKUP(Ruimtestaat[[#This Row],[Code]],Locaties[#All],5,FALSE)</f>
        <v>7607 BH</v>
      </c>
      <c r="E236" s="187" t="str">
        <f>VLOOKUP(Ruimtestaat[[#This Row],[Code]],Locaties[#All],6,FALSE)</f>
        <v>Denekamp</v>
      </c>
      <c r="F236" s="232"/>
      <c r="G236" s="202" t="s">
        <v>679</v>
      </c>
      <c r="H236" s="187" t="s">
        <v>447</v>
      </c>
      <c r="I236" s="232" t="s">
        <v>626</v>
      </c>
      <c r="J236" s="187">
        <v>5</v>
      </c>
      <c r="K236" s="187" t="str">
        <f>VLOOKUP(Ruimtestaat[[#This Row],[Ruimte code]],Ruimtegroepen[#All],2,FALSE)</f>
        <v>Sanitair</v>
      </c>
      <c r="L236" s="187" t="s">
        <v>109</v>
      </c>
      <c r="M236" s="187" t="s">
        <v>1203</v>
      </c>
      <c r="N236" s="200">
        <v>12</v>
      </c>
      <c r="O236" s="200"/>
      <c r="P236" s="231" t="str">
        <f>VLOOKUP(Ruimtestaat[[#This Row],[Ruimte code]],Ruimtegroepen[#All],4,FALSE)</f>
        <v>S  (Sanitair)</v>
      </c>
      <c r="Q236" s="201"/>
      <c r="R236" s="202">
        <v>42</v>
      </c>
      <c r="S236" s="202" t="s">
        <v>2</v>
      </c>
      <c r="T236" s="202">
        <f>IF(R236&gt;0,IF(RIGHT(Ruimtestaat[[#This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36" s="202">
        <f>IF(T236&gt;0,VLOOKUP($J236,Ruimtegroepen[],3,FALSE)*VLOOKUP($L236,Vloersoorten[],3,FALSE)*VLOOKUP($S236,Frequenties[],3,FALSE)*VLOOKUP($A236,Locaties[],3,FALSE),0)</f>
        <v>0</v>
      </c>
      <c r="V236" s="202">
        <f>Ruimtestaat[[#This Row],[Uitvoeringen werkdagen]]*Ruimtestaat[[#This Row],[Oppervlak (netto)]]</f>
        <v>2520</v>
      </c>
      <c r="W236" s="242">
        <f>IF(U236&gt;0,Ruimtestaat[[#This Row],[Prest. (m2 /jaar) werkdagen]]/Ruimtestaat[[#This Row],[Norm (m2/uur) werkdagen]],0)</f>
        <v>0</v>
      </c>
      <c r="X236" s="243">
        <f>Ruimtestaat[[#This Row],[uren / jaar werkdagen]]*Tariefsopbouw!$D$38</f>
        <v>0</v>
      </c>
      <c r="Y236" s="33"/>
      <c r="Z236" s="33">
        <f>IF(Ruimtestaat[[#This Row],[Frequentie weekend]]&gt;0,VALUE(LEFT(Y236,1))*R236,0)</f>
        <v>0</v>
      </c>
      <c r="AA236" s="33">
        <f>IF($Z236&gt;0,VLOOKUP($J236,Ruimtegroepen[],3,FALSE)*VLOOKUP($L236,Vloersoorten[],3,FALSE)*VLOOKUP($Y236,Frequenties[],3,FALSE)*VLOOKUP(#REF!,Locaties[],3,FALSE),0)</f>
        <v>0</v>
      </c>
      <c r="AB236" s="33"/>
      <c r="AC236" s="33"/>
      <c r="AD236" s="33">
        <f>Ruimtestaat[[#This Row],[uren / jaar weekend]]*Tariefsopbouw!$D$40</f>
        <v>0</v>
      </c>
      <c r="AE236" s="86">
        <f>Ruimtestaat[[#This Row],[Prest. (m2 /jaar) weekend]]+Ruimtestaat[[#This Row],[Prest. (m2 /jaar) werkdagen]]</f>
        <v>2520</v>
      </c>
      <c r="AF236" s="86">
        <f>Ruimtestaat[[#This Row],[uren / jaar weekend]]+Ruimtestaat[[#This Row],[uren / jaar werkdagen]]</f>
        <v>0</v>
      </c>
      <c r="AG236" s="87">
        <f>Ruimtestaat[[#This Row],[kosten / jaar weekend]]+Ruimtestaat[[#This Row],[kosten / jaar werkdagen]]</f>
        <v>0</v>
      </c>
    </row>
    <row r="237" spans="1:33" ht="15" customHeight="1">
      <c r="A237" s="125">
        <v>3</v>
      </c>
      <c r="B237" s="21" t="str">
        <f>VLOOKUP(Ruimtestaat[[#This Row],[Code]],Locaties[#All],2,FALSE)</f>
        <v>Denekamp</v>
      </c>
      <c r="C237" s="21" t="str">
        <f>VLOOKUP(Ruimtestaat[[#This Row],[Code]],Locaties[#All],4,FALSE)</f>
        <v>Oranjestraat 23</v>
      </c>
      <c r="D237" s="21" t="str">
        <f>VLOOKUP(Ruimtestaat[[#This Row],[Code]],Locaties[#All],5,FALSE)</f>
        <v>7607 BH</v>
      </c>
      <c r="E237" s="187" t="str">
        <f>VLOOKUP(Ruimtestaat[[#This Row],[Code]],Locaties[#All],6,FALSE)</f>
        <v>Denekamp</v>
      </c>
      <c r="F237" s="232"/>
      <c r="G237" s="202" t="s">
        <v>679</v>
      </c>
      <c r="H237" s="187" t="s">
        <v>449</v>
      </c>
      <c r="I237" s="232" t="s">
        <v>625</v>
      </c>
      <c r="J237" s="187">
        <v>5</v>
      </c>
      <c r="K237" s="187" t="str">
        <f>VLOOKUP(Ruimtestaat[[#This Row],[Ruimte code]],Ruimtegroepen[#All],2,FALSE)</f>
        <v>Sanitair</v>
      </c>
      <c r="L237" s="187" t="s">
        <v>109</v>
      </c>
      <c r="M237" s="187" t="s">
        <v>1203</v>
      </c>
      <c r="N237" s="200">
        <v>12</v>
      </c>
      <c r="O237" s="200"/>
      <c r="P237" s="231" t="str">
        <f>VLOOKUP(Ruimtestaat[[#This Row],[Ruimte code]],Ruimtegroepen[#All],4,FALSE)</f>
        <v>S  (Sanitair)</v>
      </c>
      <c r="Q237" s="201"/>
      <c r="R237" s="202">
        <v>42</v>
      </c>
      <c r="S237" s="202" t="s">
        <v>2</v>
      </c>
      <c r="T237" s="202">
        <f>IF(R237&gt;0,IF(RIGHT(Ruimtestaat[[#This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37" s="202">
        <f>IF(T237&gt;0,VLOOKUP($J237,Ruimtegroepen[],3,FALSE)*VLOOKUP($L237,Vloersoorten[],3,FALSE)*VLOOKUP($S237,Frequenties[],3,FALSE)*VLOOKUP($A237,Locaties[],3,FALSE),0)</f>
        <v>0</v>
      </c>
      <c r="V237" s="202">
        <f>Ruimtestaat[[#This Row],[Uitvoeringen werkdagen]]*Ruimtestaat[[#This Row],[Oppervlak (netto)]]</f>
        <v>2520</v>
      </c>
      <c r="W237" s="242">
        <f>IF(U237&gt;0,Ruimtestaat[[#This Row],[Prest. (m2 /jaar) werkdagen]]/Ruimtestaat[[#This Row],[Norm (m2/uur) werkdagen]],0)</f>
        <v>0</v>
      </c>
      <c r="X237" s="243">
        <f>Ruimtestaat[[#This Row],[uren / jaar werkdagen]]*Tariefsopbouw!$D$38</f>
        <v>0</v>
      </c>
      <c r="Y237" s="33"/>
      <c r="Z237" s="33">
        <f>IF(Ruimtestaat[[#This Row],[Frequentie weekend]]&gt;0,VALUE(LEFT(Y237,1))*R237,0)</f>
        <v>0</v>
      </c>
      <c r="AA237" s="33">
        <f>IF($Z237&gt;0,VLOOKUP($J237,Ruimtegroepen[],3,FALSE)*VLOOKUP($L237,Vloersoorten[],3,FALSE)*VLOOKUP($Y237,Frequenties[],3,FALSE)*VLOOKUP(#REF!,Locaties[],3,FALSE),0)</f>
        <v>0</v>
      </c>
      <c r="AB237" s="33"/>
      <c r="AC237" s="33"/>
      <c r="AD237" s="33">
        <f>Ruimtestaat[[#This Row],[uren / jaar weekend]]*Tariefsopbouw!$D$40</f>
        <v>0</v>
      </c>
      <c r="AE237" s="86">
        <f>Ruimtestaat[[#This Row],[Prest. (m2 /jaar) weekend]]+Ruimtestaat[[#This Row],[Prest. (m2 /jaar) werkdagen]]</f>
        <v>2520</v>
      </c>
      <c r="AF237" s="86">
        <f>Ruimtestaat[[#This Row],[uren / jaar weekend]]+Ruimtestaat[[#This Row],[uren / jaar werkdagen]]</f>
        <v>0</v>
      </c>
      <c r="AG237" s="87">
        <f>Ruimtestaat[[#This Row],[kosten / jaar weekend]]+Ruimtestaat[[#This Row],[kosten / jaar werkdagen]]</f>
        <v>0</v>
      </c>
    </row>
    <row r="238" spans="1:33" ht="15" customHeight="1">
      <c r="A238" s="125">
        <v>3</v>
      </c>
      <c r="B238" s="21" t="str">
        <f>VLOOKUP(Ruimtestaat[[#This Row],[Code]],Locaties[#All],2,FALSE)</f>
        <v>Denekamp</v>
      </c>
      <c r="C238" s="21" t="str">
        <f>VLOOKUP(Ruimtestaat[[#This Row],[Code]],Locaties[#All],4,FALSE)</f>
        <v>Oranjestraat 23</v>
      </c>
      <c r="D238" s="21" t="str">
        <f>VLOOKUP(Ruimtestaat[[#This Row],[Code]],Locaties[#All],5,FALSE)</f>
        <v>7607 BH</v>
      </c>
      <c r="E238" s="187" t="str">
        <f>VLOOKUP(Ruimtestaat[[#This Row],[Code]],Locaties[#All],6,FALSE)</f>
        <v>Denekamp</v>
      </c>
      <c r="F238" s="232"/>
      <c r="G238" s="202" t="s">
        <v>679</v>
      </c>
      <c r="H238" s="187" t="s">
        <v>450</v>
      </c>
      <c r="I238" s="232" t="s">
        <v>620</v>
      </c>
      <c r="J238" s="187">
        <v>5</v>
      </c>
      <c r="K238" s="187" t="str">
        <f>VLOOKUP(Ruimtestaat[[#This Row],[Ruimte code]],Ruimtegroepen[#All],2,FALSE)</f>
        <v>Sanitair</v>
      </c>
      <c r="L238" s="187" t="s">
        <v>109</v>
      </c>
      <c r="M238" s="187" t="s">
        <v>1203</v>
      </c>
      <c r="N238" s="200">
        <v>4</v>
      </c>
      <c r="O238" s="200"/>
      <c r="P238" s="231" t="str">
        <f>VLOOKUP(Ruimtestaat[[#This Row],[Ruimte code]],Ruimtegroepen[#All],4,FALSE)</f>
        <v>S  (Sanitair)</v>
      </c>
      <c r="Q238" s="201"/>
      <c r="R238" s="202">
        <v>42</v>
      </c>
      <c r="S238" s="202" t="s">
        <v>2</v>
      </c>
      <c r="T238" s="202">
        <f>IF(R238&gt;0,IF(RIGHT(Ruimtestaat[[#This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38" s="202">
        <f>IF(T238&gt;0,VLOOKUP($J238,Ruimtegroepen[],3,FALSE)*VLOOKUP($L238,Vloersoorten[],3,FALSE)*VLOOKUP($S238,Frequenties[],3,FALSE)*VLOOKUP($A238,Locaties[],3,FALSE),0)</f>
        <v>0</v>
      </c>
      <c r="V238" s="202">
        <f>Ruimtestaat[[#This Row],[Uitvoeringen werkdagen]]*Ruimtestaat[[#This Row],[Oppervlak (netto)]]</f>
        <v>840</v>
      </c>
      <c r="W238" s="242">
        <f>IF(U238&gt;0,Ruimtestaat[[#This Row],[Prest. (m2 /jaar) werkdagen]]/Ruimtestaat[[#This Row],[Norm (m2/uur) werkdagen]],0)</f>
        <v>0</v>
      </c>
      <c r="X238" s="243">
        <f>Ruimtestaat[[#This Row],[uren / jaar werkdagen]]*Tariefsopbouw!$D$38</f>
        <v>0</v>
      </c>
      <c r="Y238" s="33"/>
      <c r="Z238" s="33">
        <f>IF(Ruimtestaat[[#This Row],[Frequentie weekend]]&gt;0,VALUE(LEFT(Y238,1))*R238,0)</f>
        <v>0</v>
      </c>
      <c r="AA238" s="33">
        <f>IF($Z238&gt;0,VLOOKUP($J238,Ruimtegroepen[],3,FALSE)*VLOOKUP($L238,Vloersoorten[],3,FALSE)*VLOOKUP($Y238,Frequenties[],3,FALSE)*VLOOKUP(#REF!,Locaties[],3,FALSE),0)</f>
        <v>0</v>
      </c>
      <c r="AB238" s="33"/>
      <c r="AC238" s="33"/>
      <c r="AD238" s="33">
        <f>Ruimtestaat[[#This Row],[uren / jaar weekend]]*Tariefsopbouw!$D$40</f>
        <v>0</v>
      </c>
      <c r="AE238" s="86">
        <f>Ruimtestaat[[#This Row],[Prest. (m2 /jaar) weekend]]+Ruimtestaat[[#This Row],[Prest. (m2 /jaar) werkdagen]]</f>
        <v>840</v>
      </c>
      <c r="AF238" s="86">
        <f>Ruimtestaat[[#This Row],[uren / jaar weekend]]+Ruimtestaat[[#This Row],[uren / jaar werkdagen]]</f>
        <v>0</v>
      </c>
      <c r="AG238" s="87">
        <f>Ruimtestaat[[#This Row],[kosten / jaar weekend]]+Ruimtestaat[[#This Row],[kosten / jaar werkdagen]]</f>
        <v>0</v>
      </c>
    </row>
    <row r="239" spans="1:33" ht="15" customHeight="1">
      <c r="A239" s="125">
        <v>3</v>
      </c>
      <c r="B239" s="21" t="str">
        <f>VLOOKUP(Ruimtestaat[[#This Row],[Code]],Locaties[#All],2,FALSE)</f>
        <v>Denekamp</v>
      </c>
      <c r="C239" s="21" t="str">
        <f>VLOOKUP(Ruimtestaat[[#This Row],[Code]],Locaties[#All],4,FALSE)</f>
        <v>Oranjestraat 23</v>
      </c>
      <c r="D239" s="21" t="str">
        <f>VLOOKUP(Ruimtestaat[[#This Row],[Code]],Locaties[#All],5,FALSE)</f>
        <v>7607 BH</v>
      </c>
      <c r="E239" s="187" t="str">
        <f>VLOOKUP(Ruimtestaat[[#This Row],[Code]],Locaties[#All],6,FALSE)</f>
        <v>Denekamp</v>
      </c>
      <c r="F239" s="232"/>
      <c r="G239" s="202" t="s">
        <v>679</v>
      </c>
      <c r="H239" s="244" t="s">
        <v>451</v>
      </c>
      <c r="I239" s="232" t="s">
        <v>621</v>
      </c>
      <c r="J239" s="187">
        <v>5</v>
      </c>
      <c r="K239" s="187" t="str">
        <f>VLOOKUP(Ruimtestaat[[#This Row],[Ruimte code]],Ruimtegroepen[#All],2,FALSE)</f>
        <v>Sanitair</v>
      </c>
      <c r="L239" s="187" t="s">
        <v>109</v>
      </c>
      <c r="M239" s="187" t="s">
        <v>1203</v>
      </c>
      <c r="N239" s="200">
        <v>4</v>
      </c>
      <c r="O239" s="200"/>
      <c r="P239" s="231" t="str">
        <f>VLOOKUP(Ruimtestaat[[#This Row],[Ruimte code]],Ruimtegroepen[#All],4,FALSE)</f>
        <v>S  (Sanitair)</v>
      </c>
      <c r="Q239" s="201"/>
      <c r="R239" s="202">
        <v>42</v>
      </c>
      <c r="S239" s="202" t="s">
        <v>2</v>
      </c>
      <c r="T239" s="202">
        <f>IF(R239&gt;0,IF(RIGHT(Ruimtestaat[[#This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39" s="202">
        <f>IF(T239&gt;0,VLOOKUP($J239,Ruimtegroepen[],3,FALSE)*VLOOKUP($L239,Vloersoorten[],3,FALSE)*VLOOKUP($S239,Frequenties[],3,FALSE)*VLOOKUP($A239,Locaties[],3,FALSE),0)</f>
        <v>0</v>
      </c>
      <c r="V239" s="202">
        <f>Ruimtestaat[[#This Row],[Uitvoeringen werkdagen]]*Ruimtestaat[[#This Row],[Oppervlak (netto)]]</f>
        <v>840</v>
      </c>
      <c r="W239" s="242">
        <f>IF(U239&gt;0,Ruimtestaat[[#This Row],[Prest. (m2 /jaar) werkdagen]]/Ruimtestaat[[#This Row],[Norm (m2/uur) werkdagen]],0)</f>
        <v>0</v>
      </c>
      <c r="X239" s="243">
        <f>Ruimtestaat[[#This Row],[uren / jaar werkdagen]]*Tariefsopbouw!$D$38</f>
        <v>0</v>
      </c>
      <c r="Y239" s="33"/>
      <c r="Z239" s="33">
        <f>IF(Ruimtestaat[[#This Row],[Frequentie weekend]]&gt;0,VALUE(LEFT(Y239,1))*R239,0)</f>
        <v>0</v>
      </c>
      <c r="AA239" s="33">
        <f>IF($Z239&gt;0,VLOOKUP($J239,Ruimtegroepen[],3,FALSE)*VLOOKUP($L239,Vloersoorten[],3,FALSE)*VLOOKUP($Y239,Frequenties[],3,FALSE)*VLOOKUP(#REF!,Locaties[],3,FALSE),0)</f>
        <v>0</v>
      </c>
      <c r="AB239" s="33"/>
      <c r="AC239" s="33"/>
      <c r="AD239" s="33">
        <f>Ruimtestaat[[#This Row],[uren / jaar weekend]]*Tariefsopbouw!$D$40</f>
        <v>0</v>
      </c>
      <c r="AE239" s="86">
        <f>Ruimtestaat[[#This Row],[Prest. (m2 /jaar) weekend]]+Ruimtestaat[[#This Row],[Prest. (m2 /jaar) werkdagen]]</f>
        <v>840</v>
      </c>
      <c r="AF239" s="86">
        <f>Ruimtestaat[[#This Row],[uren / jaar weekend]]+Ruimtestaat[[#This Row],[uren / jaar werkdagen]]</f>
        <v>0</v>
      </c>
      <c r="AG239" s="87">
        <f>Ruimtestaat[[#This Row],[kosten / jaar weekend]]+Ruimtestaat[[#This Row],[kosten / jaar werkdagen]]</f>
        <v>0</v>
      </c>
    </row>
    <row r="240" spans="1:33" ht="15" customHeight="1">
      <c r="A240" s="125">
        <v>3</v>
      </c>
      <c r="B240" s="21" t="str">
        <f>VLOOKUP(Ruimtestaat[[#This Row],[Code]],Locaties[#All],2,FALSE)</f>
        <v>Denekamp</v>
      </c>
      <c r="C240" s="21" t="str">
        <f>VLOOKUP(Ruimtestaat[[#This Row],[Code]],Locaties[#All],4,FALSE)</f>
        <v>Oranjestraat 23</v>
      </c>
      <c r="D240" s="21" t="str">
        <f>VLOOKUP(Ruimtestaat[[#This Row],[Code]],Locaties[#All],5,FALSE)</f>
        <v>7607 BH</v>
      </c>
      <c r="E240" s="187" t="str">
        <f>VLOOKUP(Ruimtestaat[[#This Row],[Code]],Locaties[#All],6,FALSE)</f>
        <v>Denekamp</v>
      </c>
      <c r="F240" s="232"/>
      <c r="G240" s="202" t="s">
        <v>679</v>
      </c>
      <c r="H240" s="187" t="s">
        <v>687</v>
      </c>
      <c r="I240" s="232" t="s">
        <v>688</v>
      </c>
      <c r="J240" s="187">
        <v>16</v>
      </c>
      <c r="K240" s="187" t="str">
        <f>VLOOKUP(Ruimtestaat[[#This Row],[Ruimte code]],Ruimtegroepen[#All],2,FALSE)</f>
        <v>Leslokalen/computerlokaal</v>
      </c>
      <c r="L240" s="187" t="s">
        <v>1204</v>
      </c>
      <c r="M240" s="187" t="s">
        <v>1205</v>
      </c>
      <c r="N240" s="200">
        <v>150</v>
      </c>
      <c r="O240" s="200"/>
      <c r="P240" s="231" t="str">
        <f>VLOOKUP(Ruimtestaat[[#This Row],[Ruimte code]],Ruimtegroepen[#All],4,FALSE)</f>
        <v>L  (Lesruimte)</v>
      </c>
      <c r="Q240" s="201"/>
      <c r="R240" s="202">
        <v>42</v>
      </c>
      <c r="S240" s="202" t="s">
        <v>2</v>
      </c>
      <c r="T240" s="202">
        <f>IF(R240&gt;0,IF(RIGHT(Ruimtestaat[[#This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40" s="202">
        <f>IF(T240&gt;0,VLOOKUP($J240,Ruimtegroepen[],3,FALSE)*VLOOKUP($L240,Vloersoorten[],3,FALSE)*VLOOKUP($S240,Frequenties[],3,FALSE)*VLOOKUP($A240,Locaties[],3,FALSE),0)</f>
        <v>0</v>
      </c>
      <c r="V240" s="202">
        <f>Ruimtestaat[[#This Row],[Uitvoeringen werkdagen]]*Ruimtestaat[[#This Row],[Oppervlak (netto)]]</f>
        <v>31500</v>
      </c>
      <c r="W240" s="242">
        <f>IF(U240&gt;0,Ruimtestaat[[#This Row],[Prest. (m2 /jaar) werkdagen]]/Ruimtestaat[[#This Row],[Norm (m2/uur) werkdagen]],0)</f>
        <v>0</v>
      </c>
      <c r="X240" s="243">
        <f>Ruimtestaat[[#This Row],[uren / jaar werkdagen]]*Tariefsopbouw!$D$38</f>
        <v>0</v>
      </c>
      <c r="Y240" s="33"/>
      <c r="Z240" s="33">
        <f>IF(Ruimtestaat[[#This Row],[Frequentie weekend]]&gt;0,VALUE(LEFT(Y240,1))*R240,0)</f>
        <v>0</v>
      </c>
      <c r="AA240" s="33">
        <f>IF($Z240&gt;0,VLOOKUP($J240,Ruimtegroepen[],3,FALSE)*VLOOKUP($L240,Vloersoorten[],3,FALSE)*VLOOKUP($Y240,Frequenties[],3,FALSE)*VLOOKUP(#REF!,Locaties[],3,FALSE),0)</f>
        <v>0</v>
      </c>
      <c r="AB240" s="33"/>
      <c r="AC240" s="33"/>
      <c r="AD240" s="33">
        <f>Ruimtestaat[[#This Row],[uren / jaar weekend]]*Tariefsopbouw!$D$40</f>
        <v>0</v>
      </c>
      <c r="AE240" s="86">
        <f>Ruimtestaat[[#This Row],[Prest. (m2 /jaar) weekend]]+Ruimtestaat[[#This Row],[Prest. (m2 /jaar) werkdagen]]</f>
        <v>31500</v>
      </c>
      <c r="AF240" s="86">
        <f>Ruimtestaat[[#This Row],[uren / jaar weekend]]+Ruimtestaat[[#This Row],[uren / jaar werkdagen]]</f>
        <v>0</v>
      </c>
      <c r="AG240" s="87">
        <f>Ruimtestaat[[#This Row],[kosten / jaar weekend]]+Ruimtestaat[[#This Row],[kosten / jaar werkdagen]]</f>
        <v>0</v>
      </c>
    </row>
    <row r="241" spans="1:33" ht="15" customHeight="1">
      <c r="A241" s="125">
        <v>3</v>
      </c>
      <c r="B241" s="21" t="str">
        <f>VLOOKUP(Ruimtestaat[[#This Row],[Code]],Locaties[#All],2,FALSE)</f>
        <v>Denekamp</v>
      </c>
      <c r="C241" s="21" t="str">
        <f>VLOOKUP(Ruimtestaat[[#This Row],[Code]],Locaties[#All],4,FALSE)</f>
        <v>Oranjestraat 23</v>
      </c>
      <c r="D241" s="21" t="str">
        <f>VLOOKUP(Ruimtestaat[[#This Row],[Code]],Locaties[#All],5,FALSE)</f>
        <v>7607 BH</v>
      </c>
      <c r="E241" s="187" t="str">
        <f>VLOOKUP(Ruimtestaat[[#This Row],[Code]],Locaties[#All],6,FALSE)</f>
        <v>Denekamp</v>
      </c>
      <c r="F241" s="232"/>
      <c r="G241" s="202" t="s">
        <v>679</v>
      </c>
      <c r="H241" s="244" t="s">
        <v>689</v>
      </c>
      <c r="I241" s="232" t="s">
        <v>609</v>
      </c>
      <c r="J241" s="187">
        <v>12</v>
      </c>
      <c r="K241" s="187" t="str">
        <f>VLOOKUP(Ruimtestaat[[#This Row],[Ruimte code]],Ruimtegroepen[#All],2,FALSE)</f>
        <v>Kantine/aula</v>
      </c>
      <c r="L241" s="187" t="s">
        <v>109</v>
      </c>
      <c r="M241" s="187" t="s">
        <v>1203</v>
      </c>
      <c r="N241" s="200">
        <v>571.52</v>
      </c>
      <c r="O241" s="200"/>
      <c r="P241" s="231" t="str">
        <f>VLOOKUP(Ruimtestaat[[#This Row],[Ruimte code]],Ruimtegroepen[#All],4,FALSE)</f>
        <v>V  (Verkeersruimte)</v>
      </c>
      <c r="Q241" s="201"/>
      <c r="R241" s="202">
        <v>42</v>
      </c>
      <c r="S241" s="202" t="s">
        <v>18</v>
      </c>
      <c r="T241" s="202">
        <f>IF(R241&gt;0,IF(RIGHT(Ruimtestaat[[#This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126</v>
      </c>
      <c r="U241" s="202">
        <f>IF(T241&gt;0,VLOOKUP($J241,Ruimtegroepen[],3,FALSE)*VLOOKUP($L241,Vloersoorten[],3,FALSE)*VLOOKUP($S241,Frequenties[],3,FALSE)*VLOOKUP($A241,Locaties[],3,FALSE),0)</f>
        <v>0</v>
      </c>
      <c r="V241" s="202">
        <f>Ruimtestaat[[#This Row],[Uitvoeringen werkdagen]]*Ruimtestaat[[#This Row],[Oppervlak (netto)]]</f>
        <v>72011.520000000004</v>
      </c>
      <c r="W241" s="242">
        <f>IF(U241&gt;0,Ruimtestaat[[#This Row],[Prest. (m2 /jaar) werkdagen]]/Ruimtestaat[[#This Row],[Norm (m2/uur) werkdagen]],0)</f>
        <v>0</v>
      </c>
      <c r="X241" s="243">
        <f>Ruimtestaat[[#This Row],[uren / jaar werkdagen]]*Tariefsopbouw!$D$38</f>
        <v>0</v>
      </c>
      <c r="Y241" s="33"/>
      <c r="Z241" s="33">
        <f>IF(Ruimtestaat[[#This Row],[Frequentie weekend]]&gt;0,VALUE(LEFT(Y241,1))*R241,0)</f>
        <v>0</v>
      </c>
      <c r="AA241" s="33">
        <f>IF($Z241&gt;0,VLOOKUP($J241,Ruimtegroepen[],3,FALSE)*VLOOKUP($L241,Vloersoorten[],3,FALSE)*VLOOKUP($Y241,Frequenties[],3,FALSE)*VLOOKUP(#REF!,Locaties[],3,FALSE),0)</f>
        <v>0</v>
      </c>
      <c r="AB241" s="33"/>
      <c r="AC241" s="33"/>
      <c r="AD241" s="33">
        <f>Ruimtestaat[[#This Row],[uren / jaar weekend]]*Tariefsopbouw!$D$40</f>
        <v>0</v>
      </c>
      <c r="AE241" s="86">
        <f>Ruimtestaat[[#This Row],[Prest. (m2 /jaar) weekend]]+Ruimtestaat[[#This Row],[Prest. (m2 /jaar) werkdagen]]</f>
        <v>72011.520000000004</v>
      </c>
      <c r="AF241" s="86">
        <f>Ruimtestaat[[#This Row],[uren / jaar weekend]]+Ruimtestaat[[#This Row],[uren / jaar werkdagen]]</f>
        <v>0</v>
      </c>
      <c r="AG241" s="87">
        <f>Ruimtestaat[[#This Row],[kosten / jaar weekend]]+Ruimtestaat[[#This Row],[kosten / jaar werkdagen]]</f>
        <v>0</v>
      </c>
    </row>
    <row r="242" spans="1:33" ht="15" customHeight="1">
      <c r="A242" s="125">
        <v>3</v>
      </c>
      <c r="B242" s="21" t="str">
        <f>VLOOKUP(Ruimtestaat[[#This Row],[Code]],Locaties[#All],2,FALSE)</f>
        <v>Denekamp</v>
      </c>
      <c r="C242" s="21" t="str">
        <f>VLOOKUP(Ruimtestaat[[#This Row],[Code]],Locaties[#All],4,FALSE)</f>
        <v>Oranjestraat 23</v>
      </c>
      <c r="D242" s="21" t="str">
        <f>VLOOKUP(Ruimtestaat[[#This Row],[Code]],Locaties[#All],5,FALSE)</f>
        <v>7607 BH</v>
      </c>
      <c r="E242" s="187" t="str">
        <f>VLOOKUP(Ruimtestaat[[#This Row],[Code]],Locaties[#All],6,FALSE)</f>
        <v>Denekamp</v>
      </c>
      <c r="F242" s="232"/>
      <c r="G242" s="202" t="s">
        <v>679</v>
      </c>
      <c r="H242" s="244" t="s">
        <v>690</v>
      </c>
      <c r="I242" s="232" t="s">
        <v>691</v>
      </c>
      <c r="J242" s="202">
        <v>6</v>
      </c>
      <c r="K242" s="202" t="str">
        <f>VLOOKUP(Ruimtestaat[[#This Row],[Ruimte code]],Ruimtegroepen[#All],2,FALSE)</f>
        <v>Gangen/hallen</v>
      </c>
      <c r="L242" s="202" t="s">
        <v>108</v>
      </c>
      <c r="M242" s="187" t="s">
        <v>1201</v>
      </c>
      <c r="N242" s="200">
        <v>48</v>
      </c>
      <c r="O242" s="200"/>
      <c r="P242" s="231" t="str">
        <f>VLOOKUP(Ruimtestaat[[#This Row],[Ruimte code]],Ruimtegroepen[#All],4,FALSE)</f>
        <v>V  (Verkeersruimte)</v>
      </c>
      <c r="Q242" s="201"/>
      <c r="R242" s="202">
        <v>42</v>
      </c>
      <c r="S242" s="202" t="s">
        <v>2</v>
      </c>
      <c r="T242" s="202">
        <f>IF(R242&gt;0,IF(RIGHT(Ruimtestaat[[#This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42" s="202">
        <f>IF(T242&gt;0,VLOOKUP($J242,Ruimtegroepen[],3,FALSE)*VLOOKUP($L242,Vloersoorten[],3,FALSE)*VLOOKUP($S242,Frequenties[],3,FALSE)*VLOOKUP($A242,Locaties[],3,FALSE),0)</f>
        <v>0</v>
      </c>
      <c r="V242" s="202">
        <f>Ruimtestaat[[#This Row],[Uitvoeringen werkdagen]]*Ruimtestaat[[#This Row],[Oppervlak (netto)]]</f>
        <v>10080</v>
      </c>
      <c r="W242" s="242">
        <f>IF(U242&gt;0,Ruimtestaat[[#This Row],[Prest. (m2 /jaar) werkdagen]]/Ruimtestaat[[#This Row],[Norm (m2/uur) werkdagen]],0)</f>
        <v>0</v>
      </c>
      <c r="X242" s="243">
        <f>Ruimtestaat[[#This Row],[uren / jaar werkdagen]]*Tariefsopbouw!$D$38</f>
        <v>0</v>
      </c>
      <c r="Y242" s="33"/>
      <c r="Z242" s="33">
        <f>IF(Ruimtestaat[[#This Row],[Frequentie weekend]]&gt;0,VALUE(LEFT(Y242,1))*R242,0)</f>
        <v>0</v>
      </c>
      <c r="AA242" s="33">
        <f>IF($Z242&gt;0,VLOOKUP($J242,Ruimtegroepen[],3,FALSE)*VLOOKUP($L242,Vloersoorten[],3,FALSE)*VLOOKUP($Y242,Frequenties[],3,FALSE)*VLOOKUP(#REF!,Locaties[],3,FALSE),0)</f>
        <v>0</v>
      </c>
      <c r="AB242" s="33"/>
      <c r="AC242" s="33"/>
      <c r="AD242" s="33">
        <f>Ruimtestaat[[#This Row],[uren / jaar weekend]]*Tariefsopbouw!$D$40</f>
        <v>0</v>
      </c>
      <c r="AE242" s="86">
        <f>Ruimtestaat[[#This Row],[Prest. (m2 /jaar) weekend]]+Ruimtestaat[[#This Row],[Prest. (m2 /jaar) werkdagen]]</f>
        <v>10080</v>
      </c>
      <c r="AF242" s="86">
        <f>Ruimtestaat[[#This Row],[uren / jaar weekend]]+Ruimtestaat[[#This Row],[uren / jaar werkdagen]]</f>
        <v>0</v>
      </c>
      <c r="AG242" s="87">
        <f>Ruimtestaat[[#This Row],[kosten / jaar weekend]]+Ruimtestaat[[#This Row],[kosten / jaar werkdagen]]</f>
        <v>0</v>
      </c>
    </row>
    <row r="243" spans="1:33" ht="15" customHeight="1">
      <c r="A243" s="125">
        <v>3</v>
      </c>
      <c r="B243" s="21" t="str">
        <f>VLOOKUP(Ruimtestaat[[#This Row],[Code]],Locaties[#All],2,FALSE)</f>
        <v>Denekamp</v>
      </c>
      <c r="C243" s="21" t="str">
        <f>VLOOKUP(Ruimtestaat[[#This Row],[Code]],Locaties[#All],4,FALSE)</f>
        <v>Oranjestraat 23</v>
      </c>
      <c r="D243" s="21" t="str">
        <f>VLOOKUP(Ruimtestaat[[#This Row],[Code]],Locaties[#All],5,FALSE)</f>
        <v>7607 BH</v>
      </c>
      <c r="E243" s="187" t="str">
        <f>VLOOKUP(Ruimtestaat[[#This Row],[Code]],Locaties[#All],6,FALSE)</f>
        <v>Denekamp</v>
      </c>
      <c r="F243" s="232"/>
      <c r="G243" s="202" t="s">
        <v>679</v>
      </c>
      <c r="H243" s="244" t="s">
        <v>692</v>
      </c>
      <c r="I243" s="232" t="s">
        <v>414</v>
      </c>
      <c r="J243" s="187">
        <v>6</v>
      </c>
      <c r="K243" s="187" t="str">
        <f>VLOOKUP(Ruimtestaat[[#This Row],[Ruimte code]],Ruimtegroepen[#All],2,FALSE)</f>
        <v>Gangen/hallen</v>
      </c>
      <c r="L243" s="202" t="s">
        <v>677</v>
      </c>
      <c r="M243" s="187" t="s">
        <v>1200</v>
      </c>
      <c r="N243" s="200">
        <v>74</v>
      </c>
      <c r="O243" s="200"/>
      <c r="P243" s="231" t="str">
        <f>VLOOKUP(Ruimtestaat[[#This Row],[Ruimte code]],Ruimtegroepen[#All],4,FALSE)</f>
        <v>V  (Verkeersruimte)</v>
      </c>
      <c r="Q243" s="201"/>
      <c r="R243" s="202">
        <v>42</v>
      </c>
      <c r="S243" s="202" t="s">
        <v>2</v>
      </c>
      <c r="T243" s="202">
        <f>IF(R243&gt;0,IF(RIGHT(Ruimtestaat[[#This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43" s="202">
        <f>IF(T243&gt;0,VLOOKUP($J243,Ruimtegroepen[],3,FALSE)*VLOOKUP($L243,Vloersoorten[],3,FALSE)*VLOOKUP($S243,Frequenties[],3,FALSE)*VLOOKUP($A243,Locaties[],3,FALSE),0)</f>
        <v>0</v>
      </c>
      <c r="V243" s="202">
        <f>Ruimtestaat[[#This Row],[Uitvoeringen werkdagen]]*Ruimtestaat[[#This Row],[Oppervlak (netto)]]</f>
        <v>15540</v>
      </c>
      <c r="W243" s="242">
        <f>IF(U243&gt;0,Ruimtestaat[[#This Row],[Prest. (m2 /jaar) werkdagen]]/Ruimtestaat[[#This Row],[Norm (m2/uur) werkdagen]],0)</f>
        <v>0</v>
      </c>
      <c r="X243" s="243">
        <f>Ruimtestaat[[#This Row],[uren / jaar werkdagen]]*Tariefsopbouw!$D$38</f>
        <v>0</v>
      </c>
      <c r="Y243" s="33"/>
      <c r="Z243" s="33">
        <f>IF(Ruimtestaat[[#This Row],[Frequentie weekend]]&gt;0,VALUE(LEFT(Y243,1))*R243,0)</f>
        <v>0</v>
      </c>
      <c r="AA243" s="33">
        <f>IF($Z243&gt;0,VLOOKUP($J243,Ruimtegroepen[],3,FALSE)*VLOOKUP($L243,Vloersoorten[],3,FALSE)*VLOOKUP($Y243,Frequenties[],3,FALSE)*VLOOKUP(#REF!,Locaties[],3,FALSE),0)</f>
        <v>0</v>
      </c>
      <c r="AB243" s="33"/>
      <c r="AC243" s="33"/>
      <c r="AD243" s="33">
        <f>Ruimtestaat[[#This Row],[uren / jaar weekend]]*Tariefsopbouw!$D$40</f>
        <v>0</v>
      </c>
      <c r="AE243" s="86">
        <f>Ruimtestaat[[#This Row],[Prest. (m2 /jaar) weekend]]+Ruimtestaat[[#This Row],[Prest. (m2 /jaar) werkdagen]]</f>
        <v>15540</v>
      </c>
      <c r="AF243" s="86">
        <f>Ruimtestaat[[#This Row],[uren / jaar weekend]]+Ruimtestaat[[#This Row],[uren / jaar werkdagen]]</f>
        <v>0</v>
      </c>
      <c r="AG243" s="87">
        <f>Ruimtestaat[[#This Row],[kosten / jaar weekend]]+Ruimtestaat[[#This Row],[kosten / jaar werkdagen]]</f>
        <v>0</v>
      </c>
    </row>
    <row r="244" spans="1:33" ht="15" customHeight="1">
      <c r="A244" s="125">
        <v>3</v>
      </c>
      <c r="B244" s="21" t="str">
        <f>VLOOKUP(Ruimtestaat[[#This Row],[Code]],Locaties[#All],2,FALSE)</f>
        <v>Denekamp</v>
      </c>
      <c r="C244" s="21" t="str">
        <f>VLOOKUP(Ruimtestaat[[#This Row],[Code]],Locaties[#All],4,FALSE)</f>
        <v>Oranjestraat 23</v>
      </c>
      <c r="D244" s="21" t="str">
        <f>VLOOKUP(Ruimtestaat[[#This Row],[Code]],Locaties[#All],5,FALSE)</f>
        <v>7607 BH</v>
      </c>
      <c r="E244" s="187" t="str">
        <f>VLOOKUP(Ruimtestaat[[#This Row],[Code]],Locaties[#All],6,FALSE)</f>
        <v>Denekamp</v>
      </c>
      <c r="F244" s="232"/>
      <c r="G244" s="202" t="s">
        <v>679</v>
      </c>
      <c r="H244" s="187" t="s">
        <v>693</v>
      </c>
      <c r="I244" s="232" t="s">
        <v>476</v>
      </c>
      <c r="J244" s="202">
        <v>4</v>
      </c>
      <c r="K244" s="202" t="str">
        <f>VLOOKUP(Ruimtestaat[[#This Row],[Ruimte code]],Ruimtegroepen[#All],2,FALSE)</f>
        <v>Vergader/spreekkamers</v>
      </c>
      <c r="L244" s="202" t="s">
        <v>677</v>
      </c>
      <c r="M244" s="187" t="s">
        <v>1200</v>
      </c>
      <c r="N244" s="200">
        <v>8</v>
      </c>
      <c r="O244" s="200"/>
      <c r="P244" s="231" t="str">
        <f>VLOOKUP(Ruimtestaat[[#This Row],[Ruimte code]],Ruimtegroepen[#All],4,FALSE)</f>
        <v>B  (Bureauruimte)</v>
      </c>
      <c r="Q244" s="201"/>
      <c r="R244" s="202">
        <v>42</v>
      </c>
      <c r="S244" s="202" t="s">
        <v>2</v>
      </c>
      <c r="T244" s="202">
        <f>IF(R244&gt;0,IF(RIGHT(Ruimtestaat[[#This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44" s="202">
        <f>IF(T244&gt;0,VLOOKUP($J244,Ruimtegroepen[],3,FALSE)*VLOOKUP($L244,Vloersoorten[],3,FALSE)*VLOOKUP($S244,Frequenties[],3,FALSE)*VLOOKUP($A244,Locaties[],3,FALSE),0)</f>
        <v>0</v>
      </c>
      <c r="V244" s="202">
        <f>Ruimtestaat[[#This Row],[Uitvoeringen werkdagen]]*Ruimtestaat[[#This Row],[Oppervlak (netto)]]</f>
        <v>1680</v>
      </c>
      <c r="W244" s="242">
        <f>IF(U244&gt;0,Ruimtestaat[[#This Row],[Prest. (m2 /jaar) werkdagen]]/Ruimtestaat[[#This Row],[Norm (m2/uur) werkdagen]],0)</f>
        <v>0</v>
      </c>
      <c r="X244" s="243">
        <f>Ruimtestaat[[#This Row],[uren / jaar werkdagen]]*Tariefsopbouw!$D$38</f>
        <v>0</v>
      </c>
      <c r="Y244" s="33"/>
      <c r="Z244" s="33">
        <f>IF(Ruimtestaat[[#This Row],[Frequentie weekend]]&gt;0,VALUE(LEFT(Y244,1))*R244,0)</f>
        <v>0</v>
      </c>
      <c r="AA244" s="33">
        <f>IF($Z244&gt;0,VLOOKUP($J244,Ruimtegroepen[],3,FALSE)*VLOOKUP($L244,Vloersoorten[],3,FALSE)*VLOOKUP($Y244,Frequenties[],3,FALSE)*VLOOKUP(#REF!,Locaties[],3,FALSE),0)</f>
        <v>0</v>
      </c>
      <c r="AB244" s="33"/>
      <c r="AC244" s="33"/>
      <c r="AD244" s="33">
        <f>Ruimtestaat[[#This Row],[uren / jaar weekend]]*Tariefsopbouw!$D$40</f>
        <v>0</v>
      </c>
      <c r="AE244" s="86">
        <f>Ruimtestaat[[#This Row],[Prest. (m2 /jaar) weekend]]+Ruimtestaat[[#This Row],[Prest. (m2 /jaar) werkdagen]]</f>
        <v>1680</v>
      </c>
      <c r="AF244" s="86">
        <f>Ruimtestaat[[#This Row],[uren / jaar weekend]]+Ruimtestaat[[#This Row],[uren / jaar werkdagen]]</f>
        <v>0</v>
      </c>
      <c r="AG244" s="87">
        <f>Ruimtestaat[[#This Row],[kosten / jaar weekend]]+Ruimtestaat[[#This Row],[kosten / jaar werkdagen]]</f>
        <v>0</v>
      </c>
    </row>
    <row r="245" spans="1:33" ht="15" customHeight="1">
      <c r="A245" s="125">
        <v>3</v>
      </c>
      <c r="B245" s="21" t="str">
        <f>VLOOKUP(Ruimtestaat[[#This Row],[Code]],Locaties[#All],2,FALSE)</f>
        <v>Denekamp</v>
      </c>
      <c r="C245" s="21" t="str">
        <f>VLOOKUP(Ruimtestaat[[#This Row],[Code]],Locaties[#All],4,FALSE)</f>
        <v>Oranjestraat 23</v>
      </c>
      <c r="D245" s="21" t="str">
        <f>VLOOKUP(Ruimtestaat[[#This Row],[Code]],Locaties[#All],5,FALSE)</f>
        <v>7607 BH</v>
      </c>
      <c r="E245" s="187" t="str">
        <f>VLOOKUP(Ruimtestaat[[#This Row],[Code]],Locaties[#All],6,FALSE)</f>
        <v>Denekamp</v>
      </c>
      <c r="F245" s="232"/>
      <c r="G245" s="202" t="s">
        <v>679</v>
      </c>
      <c r="H245" s="187" t="s">
        <v>694</v>
      </c>
      <c r="I245" s="232" t="s">
        <v>695</v>
      </c>
      <c r="J245" s="202">
        <v>14</v>
      </c>
      <c r="K245" s="202" t="str">
        <f>VLOOKUP(Ruimtestaat[[#This Row],[Ruimte code]],Ruimtegroepen[#All],2,FALSE)</f>
        <v>Praktijklokalen/kabinet</v>
      </c>
      <c r="L245" s="202" t="s">
        <v>108</v>
      </c>
      <c r="M245" s="187" t="s">
        <v>1206</v>
      </c>
      <c r="N245" s="200">
        <v>170</v>
      </c>
      <c r="O245" s="200"/>
      <c r="P245" s="231" t="str">
        <f>VLOOKUP(Ruimtestaat[[#This Row],[Ruimte code]],Ruimtegroepen[#All],4,FALSE)</f>
        <v>L  (Lesruimte)</v>
      </c>
      <c r="Q245" s="201"/>
      <c r="R245" s="202">
        <v>42</v>
      </c>
      <c r="S245" s="202" t="s">
        <v>2</v>
      </c>
      <c r="T245" s="202">
        <f>IF(R245&gt;0,IF(RIGHT(Ruimtestaat[[#This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45" s="202">
        <f>IF(T245&gt;0,VLOOKUP($J245,Ruimtegroepen[],3,FALSE)*VLOOKUP($L245,Vloersoorten[],3,FALSE)*VLOOKUP($S245,Frequenties[],3,FALSE)*VLOOKUP($A245,Locaties[],3,FALSE),0)</f>
        <v>0</v>
      </c>
      <c r="V245" s="202">
        <f>Ruimtestaat[[#This Row],[Uitvoeringen werkdagen]]*Ruimtestaat[[#This Row],[Oppervlak (netto)]]</f>
        <v>35700</v>
      </c>
      <c r="W245" s="242">
        <f>IF(U245&gt;0,Ruimtestaat[[#This Row],[Prest. (m2 /jaar) werkdagen]]/Ruimtestaat[[#This Row],[Norm (m2/uur) werkdagen]],0)</f>
        <v>0</v>
      </c>
      <c r="X245" s="243">
        <f>Ruimtestaat[[#This Row],[uren / jaar werkdagen]]*Tariefsopbouw!$D$38</f>
        <v>0</v>
      </c>
      <c r="Y245" s="33"/>
      <c r="Z245" s="33">
        <f>IF(Ruimtestaat[[#This Row],[Frequentie weekend]]&gt;0,VALUE(LEFT(Y245,1))*R245,0)</f>
        <v>0</v>
      </c>
      <c r="AA245" s="33">
        <f>IF($Z245&gt;0,VLOOKUP($J245,Ruimtegroepen[],3,FALSE)*VLOOKUP($L245,Vloersoorten[],3,FALSE)*VLOOKUP($Y245,Frequenties[],3,FALSE)*VLOOKUP(#REF!,Locaties[],3,FALSE),0)</f>
        <v>0</v>
      </c>
      <c r="AB245" s="33"/>
      <c r="AC245" s="33"/>
      <c r="AD245" s="33">
        <f>Ruimtestaat[[#This Row],[uren / jaar weekend]]*Tariefsopbouw!$D$40</f>
        <v>0</v>
      </c>
      <c r="AE245" s="86">
        <f>Ruimtestaat[[#This Row],[Prest. (m2 /jaar) weekend]]+Ruimtestaat[[#This Row],[Prest. (m2 /jaar) werkdagen]]</f>
        <v>35700</v>
      </c>
      <c r="AF245" s="86">
        <f>Ruimtestaat[[#This Row],[uren / jaar weekend]]+Ruimtestaat[[#This Row],[uren / jaar werkdagen]]</f>
        <v>0</v>
      </c>
      <c r="AG245" s="87">
        <f>Ruimtestaat[[#This Row],[kosten / jaar weekend]]+Ruimtestaat[[#This Row],[kosten / jaar werkdagen]]</f>
        <v>0</v>
      </c>
    </row>
    <row r="246" spans="1:33" ht="15" customHeight="1">
      <c r="A246" s="125">
        <v>3</v>
      </c>
      <c r="B246" s="21" t="str">
        <f>VLOOKUP(Ruimtestaat[[#This Row],[Code]],Locaties[#All],2,FALSE)</f>
        <v>Denekamp</v>
      </c>
      <c r="C246" s="21" t="str">
        <f>VLOOKUP(Ruimtestaat[[#This Row],[Code]],Locaties[#All],4,FALSE)</f>
        <v>Oranjestraat 23</v>
      </c>
      <c r="D246" s="21" t="str">
        <f>VLOOKUP(Ruimtestaat[[#This Row],[Code]],Locaties[#All],5,FALSE)</f>
        <v>7607 BH</v>
      </c>
      <c r="E246" s="187" t="str">
        <f>VLOOKUP(Ruimtestaat[[#This Row],[Code]],Locaties[#All],6,FALSE)</f>
        <v>Denekamp</v>
      </c>
      <c r="F246" s="232"/>
      <c r="G246" s="202">
        <v>1</v>
      </c>
      <c r="H246" s="187" t="s">
        <v>597</v>
      </c>
      <c r="I246" s="232" t="s">
        <v>696</v>
      </c>
      <c r="J246" s="187">
        <v>6</v>
      </c>
      <c r="K246" s="187" t="str">
        <f>VLOOKUP(Ruimtestaat[[#This Row],[Ruimte code]],Ruimtegroepen[#All],2,FALSE)</f>
        <v>Gangen/hallen</v>
      </c>
      <c r="L246" s="202" t="s">
        <v>108</v>
      </c>
      <c r="M246" s="187" t="s">
        <v>1202</v>
      </c>
      <c r="N246" s="200">
        <v>34</v>
      </c>
      <c r="O246" s="200"/>
      <c r="P246" s="231" t="str">
        <f>VLOOKUP(Ruimtestaat[[#This Row],[Ruimte code]],Ruimtegroepen[#All],4,FALSE)</f>
        <v>V  (Verkeersruimte)</v>
      </c>
      <c r="Q246" s="201"/>
      <c r="R246" s="202">
        <v>42</v>
      </c>
      <c r="S246" s="202" t="s">
        <v>2</v>
      </c>
      <c r="T246" s="202">
        <f>IF(R246&gt;0,IF(RIGHT(Ruimtestaat[[#This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46" s="202">
        <f>IF(T246&gt;0,VLOOKUP($J246,Ruimtegroepen[],3,FALSE)*VLOOKUP($L246,Vloersoorten[],3,FALSE)*VLOOKUP($S246,Frequenties[],3,FALSE)*VLOOKUP($A246,Locaties[],3,FALSE),0)</f>
        <v>0</v>
      </c>
      <c r="V246" s="202">
        <f>Ruimtestaat[[#This Row],[Uitvoeringen werkdagen]]*Ruimtestaat[[#This Row],[Oppervlak (netto)]]</f>
        <v>7140</v>
      </c>
      <c r="W246" s="242">
        <f>IF(U246&gt;0,Ruimtestaat[[#This Row],[Prest. (m2 /jaar) werkdagen]]/Ruimtestaat[[#This Row],[Norm (m2/uur) werkdagen]],0)</f>
        <v>0</v>
      </c>
      <c r="X246" s="243">
        <f>Ruimtestaat[[#This Row],[uren / jaar werkdagen]]*Tariefsopbouw!$D$38</f>
        <v>0</v>
      </c>
      <c r="Y246" s="33"/>
      <c r="Z246" s="33">
        <f>IF(Ruimtestaat[[#This Row],[Frequentie weekend]]&gt;0,VALUE(LEFT(Y246,1))*R246,0)</f>
        <v>0</v>
      </c>
      <c r="AA246" s="33">
        <f>IF($Z246&gt;0,VLOOKUP($J246,Ruimtegroepen[],3,FALSE)*VLOOKUP($L246,Vloersoorten[],3,FALSE)*VLOOKUP($Y246,Frequenties[],3,FALSE)*VLOOKUP(#REF!,Locaties[],3,FALSE),0)</f>
        <v>0</v>
      </c>
      <c r="AB246" s="33"/>
      <c r="AC246" s="33"/>
      <c r="AD246" s="33">
        <f>Ruimtestaat[[#This Row],[uren / jaar weekend]]*Tariefsopbouw!$D$40</f>
        <v>0</v>
      </c>
      <c r="AE246" s="86">
        <f>Ruimtestaat[[#This Row],[Prest. (m2 /jaar) weekend]]+Ruimtestaat[[#This Row],[Prest. (m2 /jaar) werkdagen]]</f>
        <v>7140</v>
      </c>
      <c r="AF246" s="86">
        <f>Ruimtestaat[[#This Row],[uren / jaar weekend]]+Ruimtestaat[[#This Row],[uren / jaar werkdagen]]</f>
        <v>0</v>
      </c>
      <c r="AG246" s="87">
        <f>Ruimtestaat[[#This Row],[kosten / jaar weekend]]+Ruimtestaat[[#This Row],[kosten / jaar werkdagen]]</f>
        <v>0</v>
      </c>
    </row>
    <row r="247" spans="1:33" ht="15" customHeight="1">
      <c r="A247" s="125">
        <v>3</v>
      </c>
      <c r="B247" s="21" t="str">
        <f>VLOOKUP(Ruimtestaat[[#This Row],[Code]],Locaties[#All],2,FALSE)</f>
        <v>Denekamp</v>
      </c>
      <c r="C247" s="21" t="str">
        <f>VLOOKUP(Ruimtestaat[[#This Row],[Code]],Locaties[#All],4,FALSE)</f>
        <v>Oranjestraat 23</v>
      </c>
      <c r="D247" s="21" t="str">
        <f>VLOOKUP(Ruimtestaat[[#This Row],[Code]],Locaties[#All],5,FALSE)</f>
        <v>7607 BH</v>
      </c>
      <c r="E247" s="187" t="str">
        <f>VLOOKUP(Ruimtestaat[[#This Row],[Code]],Locaties[#All],6,FALSE)</f>
        <v>Denekamp</v>
      </c>
      <c r="F247" s="232"/>
      <c r="G247" s="202">
        <v>1</v>
      </c>
      <c r="H247" s="187" t="s">
        <v>463</v>
      </c>
      <c r="I247" s="232" t="s">
        <v>414</v>
      </c>
      <c r="J247" s="187">
        <v>6</v>
      </c>
      <c r="K247" s="187" t="str">
        <f>VLOOKUP(Ruimtestaat[[#This Row],[Ruimte code]],Ruimtegroepen[#All],2,FALSE)</f>
        <v>Gangen/hallen</v>
      </c>
      <c r="L247" s="202" t="s">
        <v>108</v>
      </c>
      <c r="M247" s="187" t="s">
        <v>1202</v>
      </c>
      <c r="N247" s="200">
        <v>34</v>
      </c>
      <c r="O247" s="200"/>
      <c r="P247" s="231" t="str">
        <f>VLOOKUP(Ruimtestaat[[#This Row],[Ruimte code]],Ruimtegroepen[#All],4,FALSE)</f>
        <v>V  (Verkeersruimte)</v>
      </c>
      <c r="Q247" s="201"/>
      <c r="R247" s="202">
        <v>42</v>
      </c>
      <c r="S247" s="202" t="s">
        <v>2</v>
      </c>
      <c r="T247" s="202">
        <f>IF(R247&gt;0,IF(RIGHT(Ruimtestaat[[#This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47" s="202">
        <f>IF(T247&gt;0,VLOOKUP($J247,Ruimtegroepen[],3,FALSE)*VLOOKUP($L247,Vloersoorten[],3,FALSE)*VLOOKUP($S247,Frequenties[],3,FALSE)*VLOOKUP($A247,Locaties[],3,FALSE),0)</f>
        <v>0</v>
      </c>
      <c r="V247" s="202">
        <f>Ruimtestaat[[#This Row],[Uitvoeringen werkdagen]]*Ruimtestaat[[#This Row],[Oppervlak (netto)]]</f>
        <v>7140</v>
      </c>
      <c r="W247" s="242">
        <f>IF(U247&gt;0,Ruimtestaat[[#This Row],[Prest. (m2 /jaar) werkdagen]]/Ruimtestaat[[#This Row],[Norm (m2/uur) werkdagen]],0)</f>
        <v>0</v>
      </c>
      <c r="X247" s="243">
        <f>Ruimtestaat[[#This Row],[uren / jaar werkdagen]]*Tariefsopbouw!$D$38</f>
        <v>0</v>
      </c>
      <c r="Y247" s="33"/>
      <c r="Z247" s="33">
        <f>IF(Ruimtestaat[[#This Row],[Frequentie weekend]]&gt;0,VALUE(LEFT(Y247,1))*R247,0)</f>
        <v>0</v>
      </c>
      <c r="AA247" s="33">
        <f>IF($Z247&gt;0,VLOOKUP($J247,Ruimtegroepen[],3,FALSE)*VLOOKUP($L247,Vloersoorten[],3,FALSE)*VLOOKUP($Y247,Frequenties[],3,FALSE)*VLOOKUP(#REF!,Locaties[],3,FALSE),0)</f>
        <v>0</v>
      </c>
      <c r="AB247" s="33"/>
      <c r="AC247" s="33"/>
      <c r="AD247" s="33">
        <f>Ruimtestaat[[#This Row],[uren / jaar weekend]]*Tariefsopbouw!$D$40</f>
        <v>0</v>
      </c>
      <c r="AE247" s="86">
        <f>Ruimtestaat[[#This Row],[Prest. (m2 /jaar) weekend]]+Ruimtestaat[[#This Row],[Prest. (m2 /jaar) werkdagen]]</f>
        <v>7140</v>
      </c>
      <c r="AF247" s="86">
        <f>Ruimtestaat[[#This Row],[uren / jaar weekend]]+Ruimtestaat[[#This Row],[uren / jaar werkdagen]]</f>
        <v>0</v>
      </c>
      <c r="AG247" s="87">
        <f>Ruimtestaat[[#This Row],[kosten / jaar weekend]]+Ruimtestaat[[#This Row],[kosten / jaar werkdagen]]</f>
        <v>0</v>
      </c>
    </row>
    <row r="248" spans="1:33" ht="15" customHeight="1">
      <c r="A248" s="125">
        <v>3</v>
      </c>
      <c r="B248" s="21" t="str">
        <f>VLOOKUP(Ruimtestaat[[#This Row],[Code]],Locaties[#All],2,FALSE)</f>
        <v>Denekamp</v>
      </c>
      <c r="C248" s="21" t="str">
        <f>VLOOKUP(Ruimtestaat[[#This Row],[Code]],Locaties[#All],4,FALSE)</f>
        <v>Oranjestraat 23</v>
      </c>
      <c r="D248" s="21" t="str">
        <f>VLOOKUP(Ruimtestaat[[#This Row],[Code]],Locaties[#All],5,FALSE)</f>
        <v>7607 BH</v>
      </c>
      <c r="E248" s="187" t="str">
        <f>VLOOKUP(Ruimtestaat[[#This Row],[Code]],Locaties[#All],6,FALSE)</f>
        <v>Denekamp</v>
      </c>
      <c r="F248" s="232"/>
      <c r="G248" s="202">
        <v>1</v>
      </c>
      <c r="H248" s="187" t="s">
        <v>472</v>
      </c>
      <c r="I248" s="232" t="s">
        <v>414</v>
      </c>
      <c r="J248" s="187">
        <v>6</v>
      </c>
      <c r="K248" s="187" t="str">
        <f>VLOOKUP(Ruimtestaat[[#This Row],[Ruimte code]],Ruimtegroepen[#All],2,FALSE)</f>
        <v>Gangen/hallen</v>
      </c>
      <c r="L248" s="202" t="s">
        <v>108</v>
      </c>
      <c r="M248" s="187" t="s">
        <v>1202</v>
      </c>
      <c r="N248" s="200">
        <v>13</v>
      </c>
      <c r="O248" s="200"/>
      <c r="P248" s="231" t="str">
        <f>VLOOKUP(Ruimtestaat[[#This Row],[Ruimte code]],Ruimtegroepen[#All],4,FALSE)</f>
        <v>V  (Verkeersruimte)</v>
      </c>
      <c r="Q248" s="201"/>
      <c r="R248" s="202">
        <v>42</v>
      </c>
      <c r="S248" s="202" t="s">
        <v>2</v>
      </c>
      <c r="T248" s="202">
        <f>IF(R248&gt;0,IF(RIGHT(Ruimtestaat[[#This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48" s="202">
        <f>IF(T248&gt;0,VLOOKUP($J248,Ruimtegroepen[],3,FALSE)*VLOOKUP($L248,Vloersoorten[],3,FALSE)*VLOOKUP($S248,Frequenties[],3,FALSE)*VLOOKUP($A248,Locaties[],3,FALSE),0)</f>
        <v>0</v>
      </c>
      <c r="V248" s="202">
        <f>Ruimtestaat[[#This Row],[Uitvoeringen werkdagen]]*Ruimtestaat[[#This Row],[Oppervlak (netto)]]</f>
        <v>2730</v>
      </c>
      <c r="W248" s="242">
        <f>IF(U248&gt;0,Ruimtestaat[[#This Row],[Prest. (m2 /jaar) werkdagen]]/Ruimtestaat[[#This Row],[Norm (m2/uur) werkdagen]],0)</f>
        <v>0</v>
      </c>
      <c r="X248" s="243">
        <f>Ruimtestaat[[#This Row],[uren / jaar werkdagen]]*Tariefsopbouw!$D$38</f>
        <v>0</v>
      </c>
      <c r="Y248" s="33"/>
      <c r="Z248" s="33">
        <f>IF(Ruimtestaat[[#This Row],[Frequentie weekend]]&gt;0,VALUE(LEFT(Y248,1))*R248,0)</f>
        <v>0</v>
      </c>
      <c r="AA248" s="33">
        <f>IF($Z248&gt;0,VLOOKUP($J248,Ruimtegroepen[],3,FALSE)*VLOOKUP($L248,Vloersoorten[],3,FALSE)*VLOOKUP($Y248,Frequenties[],3,FALSE)*VLOOKUP(#REF!,Locaties[],3,FALSE),0)</f>
        <v>0</v>
      </c>
      <c r="AB248" s="33"/>
      <c r="AC248" s="33"/>
      <c r="AD248" s="33">
        <f>Ruimtestaat[[#This Row],[uren / jaar weekend]]*Tariefsopbouw!$D$40</f>
        <v>0</v>
      </c>
      <c r="AE248" s="86">
        <f>Ruimtestaat[[#This Row],[Prest. (m2 /jaar) weekend]]+Ruimtestaat[[#This Row],[Prest. (m2 /jaar) werkdagen]]</f>
        <v>2730</v>
      </c>
      <c r="AF248" s="86">
        <f>Ruimtestaat[[#This Row],[uren / jaar weekend]]+Ruimtestaat[[#This Row],[uren / jaar werkdagen]]</f>
        <v>0</v>
      </c>
      <c r="AG248" s="87">
        <f>Ruimtestaat[[#This Row],[kosten / jaar weekend]]+Ruimtestaat[[#This Row],[kosten / jaar werkdagen]]</f>
        <v>0</v>
      </c>
    </row>
    <row r="249" spans="1:33" ht="15" customHeight="1">
      <c r="A249" s="125">
        <v>3</v>
      </c>
      <c r="B249" s="21" t="str">
        <f>VLOOKUP(Ruimtestaat[[#This Row],[Code]],Locaties[#All],2,FALSE)</f>
        <v>Denekamp</v>
      </c>
      <c r="C249" s="21" t="str">
        <f>VLOOKUP(Ruimtestaat[[#This Row],[Code]],Locaties[#All],4,FALSE)</f>
        <v>Oranjestraat 23</v>
      </c>
      <c r="D249" s="21" t="str">
        <f>VLOOKUP(Ruimtestaat[[#This Row],[Code]],Locaties[#All],5,FALSE)</f>
        <v>7607 BH</v>
      </c>
      <c r="E249" s="187" t="str">
        <f>VLOOKUP(Ruimtestaat[[#This Row],[Code]],Locaties[#All],6,FALSE)</f>
        <v>Denekamp</v>
      </c>
      <c r="F249" s="232"/>
      <c r="G249" s="202">
        <v>1</v>
      </c>
      <c r="H249" s="187" t="s">
        <v>486</v>
      </c>
      <c r="I249" s="232" t="s">
        <v>626</v>
      </c>
      <c r="J249" s="187">
        <v>5</v>
      </c>
      <c r="K249" s="187" t="str">
        <f>VLOOKUP(Ruimtestaat[[#This Row],[Ruimte code]],Ruimtegroepen[#All],2,FALSE)</f>
        <v>Sanitair</v>
      </c>
      <c r="L249" s="187" t="s">
        <v>109</v>
      </c>
      <c r="M249" s="187" t="s">
        <v>1203</v>
      </c>
      <c r="N249" s="200">
        <v>14</v>
      </c>
      <c r="O249" s="200"/>
      <c r="P249" s="231" t="str">
        <f>VLOOKUP(Ruimtestaat[[#This Row],[Ruimte code]],Ruimtegroepen[#All],4,FALSE)</f>
        <v>S  (Sanitair)</v>
      </c>
      <c r="Q249" s="201"/>
      <c r="R249" s="202">
        <v>42</v>
      </c>
      <c r="S249" s="202" t="s">
        <v>2</v>
      </c>
      <c r="T249" s="202">
        <f>IF(R249&gt;0,IF(RIGHT(Ruimtestaat[[#This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49" s="202">
        <f>IF(T249&gt;0,VLOOKUP($J249,Ruimtegroepen[],3,FALSE)*VLOOKUP($L249,Vloersoorten[],3,FALSE)*VLOOKUP($S249,Frequenties[],3,FALSE)*VLOOKUP($A249,Locaties[],3,FALSE),0)</f>
        <v>0</v>
      </c>
      <c r="V249" s="202">
        <f>Ruimtestaat[[#This Row],[Uitvoeringen werkdagen]]*Ruimtestaat[[#This Row],[Oppervlak (netto)]]</f>
        <v>2940</v>
      </c>
      <c r="W249" s="242">
        <f>IF(U249&gt;0,Ruimtestaat[[#This Row],[Prest. (m2 /jaar) werkdagen]]/Ruimtestaat[[#This Row],[Norm (m2/uur) werkdagen]],0)</f>
        <v>0</v>
      </c>
      <c r="X249" s="243">
        <f>Ruimtestaat[[#This Row],[uren / jaar werkdagen]]*Tariefsopbouw!$D$38</f>
        <v>0</v>
      </c>
      <c r="Y249" s="33"/>
      <c r="Z249" s="33">
        <f>IF(Ruimtestaat[[#This Row],[Frequentie weekend]]&gt;0,VALUE(LEFT(Y249,1))*R249,0)</f>
        <v>0</v>
      </c>
      <c r="AA249" s="33">
        <f>IF($Z249&gt;0,VLOOKUP($J249,Ruimtegroepen[],3,FALSE)*VLOOKUP($L249,Vloersoorten[],3,FALSE)*VLOOKUP($Y249,Frequenties[],3,FALSE)*VLOOKUP(#REF!,Locaties[],3,FALSE),0)</f>
        <v>0</v>
      </c>
      <c r="AB249" s="33"/>
      <c r="AC249" s="33"/>
      <c r="AD249" s="33">
        <f>Ruimtestaat[[#This Row],[uren / jaar weekend]]*Tariefsopbouw!$D$40</f>
        <v>0</v>
      </c>
      <c r="AE249" s="86">
        <f>Ruimtestaat[[#This Row],[Prest. (m2 /jaar) weekend]]+Ruimtestaat[[#This Row],[Prest. (m2 /jaar) werkdagen]]</f>
        <v>2940</v>
      </c>
      <c r="AF249" s="86">
        <f>Ruimtestaat[[#This Row],[uren / jaar weekend]]+Ruimtestaat[[#This Row],[uren / jaar werkdagen]]</f>
        <v>0</v>
      </c>
      <c r="AG249" s="87">
        <f>Ruimtestaat[[#This Row],[kosten / jaar weekend]]+Ruimtestaat[[#This Row],[kosten / jaar werkdagen]]</f>
        <v>0</v>
      </c>
    </row>
    <row r="250" spans="1:33" ht="15" customHeight="1">
      <c r="A250" s="125">
        <v>3</v>
      </c>
      <c r="B250" s="21" t="str">
        <f>VLOOKUP(Ruimtestaat[[#This Row],[Code]],Locaties[#All],2,FALSE)</f>
        <v>Denekamp</v>
      </c>
      <c r="C250" s="21" t="str">
        <f>VLOOKUP(Ruimtestaat[[#This Row],[Code]],Locaties[#All],4,FALSE)</f>
        <v>Oranjestraat 23</v>
      </c>
      <c r="D250" s="21" t="str">
        <f>VLOOKUP(Ruimtestaat[[#This Row],[Code]],Locaties[#All],5,FALSE)</f>
        <v>7607 BH</v>
      </c>
      <c r="E250" s="187" t="str">
        <f>VLOOKUP(Ruimtestaat[[#This Row],[Code]],Locaties[#All],6,FALSE)</f>
        <v>Denekamp</v>
      </c>
      <c r="F250" s="232"/>
      <c r="G250" s="202">
        <v>1</v>
      </c>
      <c r="H250" s="187" t="s">
        <v>488</v>
      </c>
      <c r="I250" s="232" t="s">
        <v>625</v>
      </c>
      <c r="J250" s="187">
        <v>5</v>
      </c>
      <c r="K250" s="187" t="str">
        <f>VLOOKUP(Ruimtestaat[[#This Row],[Ruimte code]],Ruimtegroepen[#All],2,FALSE)</f>
        <v>Sanitair</v>
      </c>
      <c r="L250" s="187" t="s">
        <v>109</v>
      </c>
      <c r="M250" s="187" t="s">
        <v>1203</v>
      </c>
      <c r="N250" s="200">
        <v>15</v>
      </c>
      <c r="O250" s="200"/>
      <c r="P250" s="231" t="str">
        <f>VLOOKUP(Ruimtestaat[[#This Row],[Ruimte code]],Ruimtegroepen[#All],4,FALSE)</f>
        <v>S  (Sanitair)</v>
      </c>
      <c r="Q250" s="201"/>
      <c r="R250" s="202">
        <v>42</v>
      </c>
      <c r="S250" s="202" t="s">
        <v>2</v>
      </c>
      <c r="T250" s="202">
        <f>IF(R250&gt;0,IF(RIGHT(Ruimtestaat[[#This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50" s="202">
        <f>IF(T250&gt;0,VLOOKUP($J250,Ruimtegroepen[],3,FALSE)*VLOOKUP($L250,Vloersoorten[],3,FALSE)*VLOOKUP($S250,Frequenties[],3,FALSE)*VLOOKUP($A250,Locaties[],3,FALSE),0)</f>
        <v>0</v>
      </c>
      <c r="V250" s="202">
        <f>Ruimtestaat[[#This Row],[Uitvoeringen werkdagen]]*Ruimtestaat[[#This Row],[Oppervlak (netto)]]</f>
        <v>3150</v>
      </c>
      <c r="W250" s="242">
        <f>IF(U250&gt;0,Ruimtestaat[[#This Row],[Prest. (m2 /jaar) werkdagen]]/Ruimtestaat[[#This Row],[Norm (m2/uur) werkdagen]],0)</f>
        <v>0</v>
      </c>
      <c r="X250" s="243">
        <f>Ruimtestaat[[#This Row],[uren / jaar werkdagen]]*Tariefsopbouw!$D$38</f>
        <v>0</v>
      </c>
      <c r="Y250" s="33"/>
      <c r="Z250" s="33">
        <f>IF(Ruimtestaat[[#This Row],[Frequentie weekend]]&gt;0,VALUE(LEFT(Y250,1))*R250,0)</f>
        <v>0</v>
      </c>
      <c r="AA250" s="33">
        <f>IF($Z250&gt;0,VLOOKUP($J250,Ruimtegroepen[],3,FALSE)*VLOOKUP($L250,Vloersoorten[],3,FALSE)*VLOOKUP($Y250,Frequenties[],3,FALSE)*VLOOKUP(#REF!,Locaties[],3,FALSE),0)</f>
        <v>0</v>
      </c>
      <c r="AB250" s="33"/>
      <c r="AC250" s="33"/>
      <c r="AD250" s="33">
        <f>Ruimtestaat[[#This Row],[uren / jaar weekend]]*Tariefsopbouw!$D$40</f>
        <v>0</v>
      </c>
      <c r="AE250" s="86">
        <f>Ruimtestaat[[#This Row],[Prest. (m2 /jaar) weekend]]+Ruimtestaat[[#This Row],[Prest. (m2 /jaar) werkdagen]]</f>
        <v>3150</v>
      </c>
      <c r="AF250" s="86">
        <f>Ruimtestaat[[#This Row],[uren / jaar weekend]]+Ruimtestaat[[#This Row],[uren / jaar werkdagen]]</f>
        <v>0</v>
      </c>
      <c r="AG250" s="87">
        <f>Ruimtestaat[[#This Row],[kosten / jaar weekend]]+Ruimtestaat[[#This Row],[kosten / jaar werkdagen]]</f>
        <v>0</v>
      </c>
    </row>
    <row r="251" spans="1:33" ht="15" customHeight="1">
      <c r="A251" s="125">
        <v>3</v>
      </c>
      <c r="B251" s="21" t="str">
        <f>VLOOKUP(Ruimtestaat[[#This Row],[Code]],Locaties[#All],2,FALSE)</f>
        <v>Denekamp</v>
      </c>
      <c r="C251" s="21" t="str">
        <f>VLOOKUP(Ruimtestaat[[#This Row],[Code]],Locaties[#All],4,FALSE)</f>
        <v>Oranjestraat 23</v>
      </c>
      <c r="D251" s="21" t="str">
        <f>VLOOKUP(Ruimtestaat[[#This Row],[Code]],Locaties[#All],5,FALSE)</f>
        <v>7607 BH</v>
      </c>
      <c r="E251" s="187" t="str">
        <f>VLOOKUP(Ruimtestaat[[#This Row],[Code]],Locaties[#All],6,FALSE)</f>
        <v>Denekamp</v>
      </c>
      <c r="F251" s="232"/>
      <c r="G251" s="202">
        <v>1</v>
      </c>
      <c r="H251" s="187" t="s">
        <v>477</v>
      </c>
      <c r="I251" s="232" t="s">
        <v>599</v>
      </c>
      <c r="J251" s="187">
        <v>16</v>
      </c>
      <c r="K251" s="187" t="str">
        <f>VLOOKUP(Ruimtestaat[[#This Row],[Ruimte code]],Ruimtegroepen[#All],2,FALSE)</f>
        <v>Leslokalen/computerlokaal</v>
      </c>
      <c r="L251" s="202" t="s">
        <v>1204</v>
      </c>
      <c r="M251" s="187" t="s">
        <v>1205</v>
      </c>
      <c r="N251" s="200">
        <v>49</v>
      </c>
      <c r="O251" s="200"/>
      <c r="P251" s="231" t="str">
        <f>VLOOKUP(Ruimtestaat[[#This Row],[Ruimte code]],Ruimtegroepen[#All],4,FALSE)</f>
        <v>L  (Lesruimte)</v>
      </c>
      <c r="Q251" s="201"/>
      <c r="R251" s="202">
        <v>42</v>
      </c>
      <c r="S251" s="202" t="s">
        <v>2</v>
      </c>
      <c r="T251" s="202">
        <f>IF(R251&gt;0,IF(RIGHT(Ruimtestaat[[#This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51" s="202">
        <f>IF(T251&gt;0,VLOOKUP($J251,Ruimtegroepen[],3,FALSE)*VLOOKUP($L251,Vloersoorten[],3,FALSE)*VLOOKUP($S251,Frequenties[],3,FALSE)*VLOOKUP($A251,Locaties[],3,FALSE),0)</f>
        <v>0</v>
      </c>
      <c r="V251" s="202">
        <f>Ruimtestaat[[#This Row],[Uitvoeringen werkdagen]]*Ruimtestaat[[#This Row],[Oppervlak (netto)]]</f>
        <v>10290</v>
      </c>
      <c r="W251" s="242">
        <f>IF(U251&gt;0,Ruimtestaat[[#This Row],[Prest. (m2 /jaar) werkdagen]]/Ruimtestaat[[#This Row],[Norm (m2/uur) werkdagen]],0)</f>
        <v>0</v>
      </c>
      <c r="X251" s="243">
        <f>Ruimtestaat[[#This Row],[uren / jaar werkdagen]]*Tariefsopbouw!$D$38</f>
        <v>0</v>
      </c>
      <c r="Y251" s="33"/>
      <c r="Z251" s="33">
        <f>IF(Ruimtestaat[[#This Row],[Frequentie weekend]]&gt;0,VALUE(LEFT(Y251,1))*R251,0)</f>
        <v>0</v>
      </c>
      <c r="AA251" s="33">
        <f>IF($Z251&gt;0,VLOOKUP($J251,Ruimtegroepen[],3,FALSE)*VLOOKUP($L251,Vloersoorten[],3,FALSE)*VLOOKUP($Y251,Frequenties[],3,FALSE)*VLOOKUP(#REF!,Locaties[],3,FALSE),0)</f>
        <v>0</v>
      </c>
      <c r="AB251" s="33"/>
      <c r="AC251" s="33"/>
      <c r="AD251" s="33">
        <f>Ruimtestaat[[#This Row],[uren / jaar weekend]]*Tariefsopbouw!$D$40</f>
        <v>0</v>
      </c>
      <c r="AE251" s="86">
        <f>Ruimtestaat[[#This Row],[Prest. (m2 /jaar) weekend]]+Ruimtestaat[[#This Row],[Prest. (m2 /jaar) werkdagen]]</f>
        <v>10290</v>
      </c>
      <c r="AF251" s="86">
        <f>Ruimtestaat[[#This Row],[uren / jaar weekend]]+Ruimtestaat[[#This Row],[uren / jaar werkdagen]]</f>
        <v>0</v>
      </c>
      <c r="AG251" s="87">
        <f>Ruimtestaat[[#This Row],[kosten / jaar weekend]]+Ruimtestaat[[#This Row],[kosten / jaar werkdagen]]</f>
        <v>0</v>
      </c>
    </row>
    <row r="252" spans="1:33" ht="15" customHeight="1">
      <c r="A252" s="125">
        <v>3</v>
      </c>
      <c r="B252" s="21" t="str">
        <f>VLOOKUP(Ruimtestaat[[#This Row],[Code]],Locaties[#All],2,FALSE)</f>
        <v>Denekamp</v>
      </c>
      <c r="C252" s="21" t="str">
        <f>VLOOKUP(Ruimtestaat[[#This Row],[Code]],Locaties[#All],4,FALSE)</f>
        <v>Oranjestraat 23</v>
      </c>
      <c r="D252" s="21" t="str">
        <f>VLOOKUP(Ruimtestaat[[#This Row],[Code]],Locaties[#All],5,FALSE)</f>
        <v>7607 BH</v>
      </c>
      <c r="E252" s="187" t="str">
        <f>VLOOKUP(Ruimtestaat[[#This Row],[Code]],Locaties[#All],6,FALSE)</f>
        <v>Denekamp</v>
      </c>
      <c r="F252" s="232"/>
      <c r="G252" s="202">
        <v>1</v>
      </c>
      <c r="H252" s="244" t="s">
        <v>478</v>
      </c>
      <c r="I252" s="232" t="s">
        <v>600</v>
      </c>
      <c r="J252" s="187">
        <v>16</v>
      </c>
      <c r="K252" s="187" t="str">
        <f>VLOOKUP(Ruimtestaat[[#This Row],[Ruimte code]],Ruimtegroepen[#All],2,FALSE)</f>
        <v>Leslokalen/computerlokaal</v>
      </c>
      <c r="L252" s="187" t="s">
        <v>1204</v>
      </c>
      <c r="M252" s="187" t="s">
        <v>1205</v>
      </c>
      <c r="N252" s="200">
        <v>56</v>
      </c>
      <c r="O252" s="200"/>
      <c r="P252" s="231" t="str">
        <f>VLOOKUP(Ruimtestaat[[#This Row],[Ruimte code]],Ruimtegroepen[#All],4,FALSE)</f>
        <v>L  (Lesruimte)</v>
      </c>
      <c r="Q252" s="201"/>
      <c r="R252" s="202">
        <v>42</v>
      </c>
      <c r="S252" s="202" t="s">
        <v>2</v>
      </c>
      <c r="T252" s="202">
        <f>IF(R252&gt;0,IF(RIGHT(Ruimtestaat[[#This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52" s="202">
        <f>IF(T252&gt;0,VLOOKUP($J252,Ruimtegroepen[],3,FALSE)*VLOOKUP($L252,Vloersoorten[],3,FALSE)*VLOOKUP($S252,Frequenties[],3,FALSE)*VLOOKUP($A252,Locaties[],3,FALSE),0)</f>
        <v>0</v>
      </c>
      <c r="V252" s="202">
        <f>Ruimtestaat[[#This Row],[Uitvoeringen werkdagen]]*Ruimtestaat[[#This Row],[Oppervlak (netto)]]</f>
        <v>11760</v>
      </c>
      <c r="W252" s="242">
        <f>IF(U252&gt;0,Ruimtestaat[[#This Row],[Prest. (m2 /jaar) werkdagen]]/Ruimtestaat[[#This Row],[Norm (m2/uur) werkdagen]],0)</f>
        <v>0</v>
      </c>
      <c r="X252" s="243">
        <f>Ruimtestaat[[#This Row],[uren / jaar werkdagen]]*Tariefsopbouw!$D$38</f>
        <v>0</v>
      </c>
      <c r="Y252" s="33"/>
      <c r="Z252" s="33">
        <f>IF(Ruimtestaat[[#This Row],[Frequentie weekend]]&gt;0,VALUE(LEFT(Y252,1))*R252,0)</f>
        <v>0</v>
      </c>
      <c r="AA252" s="33">
        <f>IF($Z252&gt;0,VLOOKUP($J252,Ruimtegroepen[],3,FALSE)*VLOOKUP($L252,Vloersoorten[],3,FALSE)*VLOOKUP($Y252,Frequenties[],3,FALSE)*VLOOKUP(#REF!,Locaties[],3,FALSE),0)</f>
        <v>0</v>
      </c>
      <c r="AB252" s="33"/>
      <c r="AC252" s="33"/>
      <c r="AD252" s="33">
        <f>Ruimtestaat[[#This Row],[uren / jaar weekend]]*Tariefsopbouw!$D$40</f>
        <v>0</v>
      </c>
      <c r="AE252" s="86">
        <f>Ruimtestaat[[#This Row],[Prest. (m2 /jaar) weekend]]+Ruimtestaat[[#This Row],[Prest. (m2 /jaar) werkdagen]]</f>
        <v>11760</v>
      </c>
      <c r="AF252" s="86">
        <f>Ruimtestaat[[#This Row],[uren / jaar weekend]]+Ruimtestaat[[#This Row],[uren / jaar werkdagen]]</f>
        <v>0</v>
      </c>
      <c r="AG252" s="87">
        <f>Ruimtestaat[[#This Row],[kosten / jaar weekend]]+Ruimtestaat[[#This Row],[kosten / jaar werkdagen]]</f>
        <v>0</v>
      </c>
    </row>
    <row r="253" spans="1:33" ht="15" customHeight="1">
      <c r="A253" s="125">
        <v>3</v>
      </c>
      <c r="B253" s="21" t="str">
        <f>VLOOKUP(Ruimtestaat[[#This Row],[Code]],Locaties[#All],2,FALSE)</f>
        <v>Denekamp</v>
      </c>
      <c r="C253" s="21" t="str">
        <f>VLOOKUP(Ruimtestaat[[#This Row],[Code]],Locaties[#All],4,FALSE)</f>
        <v>Oranjestraat 23</v>
      </c>
      <c r="D253" s="21" t="str">
        <f>VLOOKUP(Ruimtestaat[[#This Row],[Code]],Locaties[#All],5,FALSE)</f>
        <v>7607 BH</v>
      </c>
      <c r="E253" s="187" t="str">
        <f>VLOOKUP(Ruimtestaat[[#This Row],[Code]],Locaties[#All],6,FALSE)</f>
        <v>Denekamp</v>
      </c>
      <c r="F253" s="232"/>
      <c r="G253" s="202">
        <v>1</v>
      </c>
      <c r="H253" s="187" t="s">
        <v>479</v>
      </c>
      <c r="I253" s="232" t="s">
        <v>601</v>
      </c>
      <c r="J253" s="187">
        <v>16</v>
      </c>
      <c r="K253" s="187" t="str">
        <f>VLOOKUP(Ruimtestaat[[#This Row],[Ruimte code]],Ruimtegroepen[#All],2,FALSE)</f>
        <v>Leslokalen/computerlokaal</v>
      </c>
      <c r="L253" s="187" t="s">
        <v>1204</v>
      </c>
      <c r="M253" s="187" t="s">
        <v>1205</v>
      </c>
      <c r="N253" s="200">
        <v>53</v>
      </c>
      <c r="O253" s="200"/>
      <c r="P253" s="231" t="str">
        <f>VLOOKUP(Ruimtestaat[[#This Row],[Ruimte code]],Ruimtegroepen[#All],4,FALSE)</f>
        <v>L  (Lesruimte)</v>
      </c>
      <c r="Q253" s="201"/>
      <c r="R253" s="202">
        <v>42</v>
      </c>
      <c r="S253" s="202" t="s">
        <v>2</v>
      </c>
      <c r="T253" s="202">
        <f>IF(R253&gt;0,IF(RIGHT(Ruimtestaat[[#This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53" s="202">
        <f>IF(T253&gt;0,VLOOKUP($J253,Ruimtegroepen[],3,FALSE)*VLOOKUP($L253,Vloersoorten[],3,FALSE)*VLOOKUP($S253,Frequenties[],3,FALSE)*VLOOKUP($A253,Locaties[],3,FALSE),0)</f>
        <v>0</v>
      </c>
      <c r="V253" s="202">
        <f>Ruimtestaat[[#This Row],[Uitvoeringen werkdagen]]*Ruimtestaat[[#This Row],[Oppervlak (netto)]]</f>
        <v>11130</v>
      </c>
      <c r="W253" s="242">
        <f>IF(U253&gt;0,Ruimtestaat[[#This Row],[Prest. (m2 /jaar) werkdagen]]/Ruimtestaat[[#This Row],[Norm (m2/uur) werkdagen]],0)</f>
        <v>0</v>
      </c>
      <c r="X253" s="243">
        <f>Ruimtestaat[[#This Row],[uren / jaar werkdagen]]*Tariefsopbouw!$D$38</f>
        <v>0</v>
      </c>
      <c r="Y253" s="33"/>
      <c r="Z253" s="33">
        <f>IF(Ruimtestaat[[#This Row],[Frequentie weekend]]&gt;0,VALUE(LEFT(Y253,1))*R253,0)</f>
        <v>0</v>
      </c>
      <c r="AA253" s="33">
        <f>IF($Z253&gt;0,VLOOKUP($J253,Ruimtegroepen[],3,FALSE)*VLOOKUP($L253,Vloersoorten[],3,FALSE)*VLOOKUP($Y253,Frequenties[],3,FALSE)*VLOOKUP(#REF!,Locaties[],3,FALSE),0)</f>
        <v>0</v>
      </c>
      <c r="AB253" s="33"/>
      <c r="AC253" s="33"/>
      <c r="AD253" s="33">
        <f>Ruimtestaat[[#This Row],[uren / jaar weekend]]*Tariefsopbouw!$D$40</f>
        <v>0</v>
      </c>
      <c r="AE253" s="86">
        <f>Ruimtestaat[[#This Row],[Prest. (m2 /jaar) weekend]]+Ruimtestaat[[#This Row],[Prest. (m2 /jaar) werkdagen]]</f>
        <v>11130</v>
      </c>
      <c r="AF253" s="86">
        <f>Ruimtestaat[[#This Row],[uren / jaar weekend]]+Ruimtestaat[[#This Row],[uren / jaar werkdagen]]</f>
        <v>0</v>
      </c>
      <c r="AG253" s="87">
        <f>Ruimtestaat[[#This Row],[kosten / jaar weekend]]+Ruimtestaat[[#This Row],[kosten / jaar werkdagen]]</f>
        <v>0</v>
      </c>
    </row>
    <row r="254" spans="1:33" ht="15" customHeight="1">
      <c r="A254" s="125">
        <v>3</v>
      </c>
      <c r="B254" s="21" t="str">
        <f>VLOOKUP(Ruimtestaat[[#This Row],[Code]],Locaties[#All],2,FALSE)</f>
        <v>Denekamp</v>
      </c>
      <c r="C254" s="21" t="str">
        <f>VLOOKUP(Ruimtestaat[[#This Row],[Code]],Locaties[#All],4,FALSE)</f>
        <v>Oranjestraat 23</v>
      </c>
      <c r="D254" s="21" t="str">
        <f>VLOOKUP(Ruimtestaat[[#This Row],[Code]],Locaties[#All],5,FALSE)</f>
        <v>7607 BH</v>
      </c>
      <c r="E254" s="187" t="str">
        <f>VLOOKUP(Ruimtestaat[[#This Row],[Code]],Locaties[#All],6,FALSE)</f>
        <v>Denekamp</v>
      </c>
      <c r="F254" s="232"/>
      <c r="G254" s="202">
        <v>1</v>
      </c>
      <c r="H254" s="244" t="s">
        <v>469</v>
      </c>
      <c r="I254" s="232" t="s">
        <v>697</v>
      </c>
      <c r="J254" s="187">
        <v>16</v>
      </c>
      <c r="K254" s="187" t="str">
        <f>VLOOKUP(Ruimtestaat[[#This Row],[Ruimte code]],Ruimtegroepen[#All],2,FALSE)</f>
        <v>Leslokalen/computerlokaal</v>
      </c>
      <c r="L254" s="187" t="s">
        <v>677</v>
      </c>
      <c r="M254" s="187" t="s">
        <v>1200</v>
      </c>
      <c r="N254" s="200">
        <v>108</v>
      </c>
      <c r="O254" s="200"/>
      <c r="P254" s="231" t="str">
        <f>VLOOKUP(Ruimtestaat[[#This Row],[Ruimte code]],Ruimtegroepen[#All],4,FALSE)</f>
        <v>L  (Lesruimte)</v>
      </c>
      <c r="Q254" s="201"/>
      <c r="R254" s="202">
        <v>42</v>
      </c>
      <c r="S254" s="202" t="s">
        <v>2</v>
      </c>
      <c r="T254" s="202">
        <f>IF(R254&gt;0,IF(RIGHT(Ruimtestaat[[#This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54" s="202">
        <f>IF(T254&gt;0,VLOOKUP($J254,Ruimtegroepen[],3,FALSE)*VLOOKUP($L254,Vloersoorten[],3,FALSE)*VLOOKUP($S254,Frequenties[],3,FALSE)*VLOOKUP($A254,Locaties[],3,FALSE),0)</f>
        <v>0</v>
      </c>
      <c r="V254" s="202">
        <f>Ruimtestaat[[#This Row],[Uitvoeringen werkdagen]]*Ruimtestaat[[#This Row],[Oppervlak (netto)]]</f>
        <v>22680</v>
      </c>
      <c r="W254" s="242">
        <f>IF(U254&gt;0,Ruimtestaat[[#This Row],[Prest. (m2 /jaar) werkdagen]]/Ruimtestaat[[#This Row],[Norm (m2/uur) werkdagen]],0)</f>
        <v>0</v>
      </c>
      <c r="X254" s="243">
        <f>Ruimtestaat[[#This Row],[uren / jaar werkdagen]]*Tariefsopbouw!$D$38</f>
        <v>0</v>
      </c>
      <c r="Y254" s="33"/>
      <c r="Z254" s="33">
        <f>IF(Ruimtestaat[[#This Row],[Frequentie weekend]]&gt;0,VALUE(LEFT(Y254,1))*R254,0)</f>
        <v>0</v>
      </c>
      <c r="AA254" s="33">
        <f>IF($Z254&gt;0,VLOOKUP($J254,Ruimtegroepen[],3,FALSE)*VLOOKUP($L254,Vloersoorten[],3,FALSE)*VLOOKUP($Y254,Frequenties[],3,FALSE)*VLOOKUP(#REF!,Locaties[],3,FALSE),0)</f>
        <v>0</v>
      </c>
      <c r="AB254" s="33"/>
      <c r="AC254" s="33"/>
      <c r="AD254" s="33">
        <f>Ruimtestaat[[#This Row],[uren / jaar weekend]]*Tariefsopbouw!$D$40</f>
        <v>0</v>
      </c>
      <c r="AE254" s="86">
        <f>Ruimtestaat[[#This Row],[Prest. (m2 /jaar) weekend]]+Ruimtestaat[[#This Row],[Prest. (m2 /jaar) werkdagen]]</f>
        <v>22680</v>
      </c>
      <c r="AF254" s="86">
        <f>Ruimtestaat[[#This Row],[uren / jaar weekend]]+Ruimtestaat[[#This Row],[uren / jaar werkdagen]]</f>
        <v>0</v>
      </c>
      <c r="AG254" s="87">
        <f>Ruimtestaat[[#This Row],[kosten / jaar weekend]]+Ruimtestaat[[#This Row],[kosten / jaar werkdagen]]</f>
        <v>0</v>
      </c>
    </row>
    <row r="255" spans="1:33" ht="15" customHeight="1">
      <c r="A255" s="187">
        <v>4</v>
      </c>
      <c r="B255" s="21" t="str">
        <f>VLOOKUP(Ruimtestaat[[#This Row],[Code]],Locaties[#All],2,FALSE)</f>
        <v xml:space="preserve">Lyceumstraat </v>
      </c>
      <c r="C255" s="247" t="str">
        <f>VLOOKUP(Ruimtestaat[[#This Row],[Code]],Locaties[#All],4,FALSE)</f>
        <v>Lyceumstraat 36</v>
      </c>
      <c r="D255" s="247" t="str">
        <f>VLOOKUP(Ruimtestaat[[#This Row],[Code]],Locaties[#All],5,FALSE)</f>
        <v>7572 CR</v>
      </c>
      <c r="E255" s="187" t="str">
        <f>VLOOKUP(Ruimtestaat[[#This Row],[Code]],Locaties[#All],6,FALSE)</f>
        <v>Oldenzaal</v>
      </c>
      <c r="F255" s="248"/>
      <c r="G255" s="246" t="s">
        <v>679</v>
      </c>
      <c r="H255" s="246" t="s">
        <v>906</v>
      </c>
      <c r="I255" s="248" t="s">
        <v>476</v>
      </c>
      <c r="J255" s="187">
        <v>4</v>
      </c>
      <c r="K255" s="187" t="str">
        <f>VLOOKUP(Ruimtestaat[[#This Row],[Ruimte code]],Ruimtegroepen[#All],2,FALSE)</f>
        <v>Vergader/spreekkamers</v>
      </c>
      <c r="L255" s="247" t="s">
        <v>1204</v>
      </c>
      <c r="M255" s="246" t="s">
        <v>1205</v>
      </c>
      <c r="N255" s="200">
        <v>13</v>
      </c>
      <c r="O255" s="200"/>
      <c r="P255" s="231" t="str">
        <f>VLOOKUP(Ruimtestaat[[#This Row],[Ruimte code]],Ruimtegroepen[#All],4,FALSE)</f>
        <v>B  (Bureauruimte)</v>
      </c>
      <c r="Q255" s="201"/>
      <c r="R255" s="202">
        <v>42</v>
      </c>
      <c r="S255" s="202" t="s">
        <v>2</v>
      </c>
      <c r="T255" s="202">
        <f>IF(R255&gt;0,IF(RIGHT(Ruimtestaat[[#This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55" s="202">
        <f>IF(T255&gt;0,VLOOKUP($J255,Ruimtegroepen[],3,FALSE)*VLOOKUP($L255,Vloersoorten[],3,FALSE)*VLOOKUP($S255,Frequenties[],3,FALSE)*VLOOKUP($A255,Locaties[],3,FALSE),0)</f>
        <v>0</v>
      </c>
      <c r="V255" s="202">
        <f>Ruimtestaat[[#This Row],[Uitvoeringen werkdagen]]*Ruimtestaat[[#This Row],[Oppervlak (netto)]]</f>
        <v>2730</v>
      </c>
      <c r="W255" s="242">
        <f>IF(U255&gt;0,Ruimtestaat[[#This Row],[Prest. (m2 /jaar) werkdagen]]/Ruimtestaat[[#This Row],[Norm (m2/uur) werkdagen]],0)</f>
        <v>0</v>
      </c>
      <c r="X255" s="243">
        <f>Ruimtestaat[[#This Row],[uren / jaar werkdagen]]*Tariefsopbouw!$D$38</f>
        <v>0</v>
      </c>
      <c r="Y255" s="33"/>
      <c r="Z255" s="33">
        <f>IF(Ruimtestaat[[#This Row],[Frequentie weekend]]&gt;0,VALUE(LEFT(Y255,1))*R255,0)</f>
        <v>0</v>
      </c>
      <c r="AA255" s="33">
        <f>IF($Z255&gt;0,VLOOKUP($J255,Ruimtegroepen[],3,FALSE)*VLOOKUP($L255,Vloersoorten[],3,FALSE)*VLOOKUP($Y255,Frequenties[],3,FALSE)*VLOOKUP(#REF!,Locaties[],3,FALSE),0)</f>
        <v>0</v>
      </c>
      <c r="AB255" s="33"/>
      <c r="AC255" s="33"/>
      <c r="AD255" s="33">
        <f>Ruimtestaat[[#This Row],[uren / jaar weekend]]*Tariefsopbouw!$D$40</f>
        <v>0</v>
      </c>
      <c r="AE255" s="86">
        <f>Ruimtestaat[[#This Row],[Prest. (m2 /jaar) weekend]]+Ruimtestaat[[#This Row],[Prest. (m2 /jaar) werkdagen]]</f>
        <v>2730</v>
      </c>
      <c r="AF255" s="86">
        <f>Ruimtestaat[[#This Row],[uren / jaar weekend]]+Ruimtestaat[[#This Row],[uren / jaar werkdagen]]</f>
        <v>0</v>
      </c>
      <c r="AG255" s="87">
        <f>Ruimtestaat[[#This Row],[kosten / jaar weekend]]+Ruimtestaat[[#This Row],[kosten / jaar werkdagen]]</f>
        <v>0</v>
      </c>
    </row>
    <row r="256" spans="1:33" ht="15" customHeight="1">
      <c r="A256" s="187">
        <v>4</v>
      </c>
      <c r="B256" s="21" t="str">
        <f>VLOOKUP(Ruimtestaat[[#This Row],[Code]],Locaties[#All],2,FALSE)</f>
        <v xml:space="preserve">Lyceumstraat </v>
      </c>
      <c r="C256" s="247" t="str">
        <f>VLOOKUP(Ruimtestaat[[#This Row],[Code]],Locaties[#All],4,FALSE)</f>
        <v>Lyceumstraat 36</v>
      </c>
      <c r="D256" s="247" t="str">
        <f>VLOOKUP(Ruimtestaat[[#This Row],[Code]],Locaties[#All],5,FALSE)</f>
        <v>7572 CR</v>
      </c>
      <c r="E256" s="187" t="str">
        <f>VLOOKUP(Ruimtestaat[[#This Row],[Code]],Locaties[#All],6,FALSE)</f>
        <v>Oldenzaal</v>
      </c>
      <c r="F256" s="248"/>
      <c r="G256" s="246" t="s">
        <v>679</v>
      </c>
      <c r="H256" s="246" t="s">
        <v>907</v>
      </c>
      <c r="I256" s="248" t="s">
        <v>590</v>
      </c>
      <c r="J256" s="247">
        <v>2</v>
      </c>
      <c r="K256" s="247" t="str">
        <f>VLOOKUP(Ruimtestaat[[#This Row],[Ruimte code]],Ruimtegroepen[#All],2,FALSE)</f>
        <v>Kantoren/kantoortuin</v>
      </c>
      <c r="L256" s="247" t="s">
        <v>1204</v>
      </c>
      <c r="M256" s="246" t="s">
        <v>1205</v>
      </c>
      <c r="N256" s="200">
        <v>13</v>
      </c>
      <c r="O256" s="200"/>
      <c r="P256" s="231" t="str">
        <f>VLOOKUP(Ruimtestaat[[#This Row],[Ruimte code]],Ruimtegroepen[#All],4,FALSE)</f>
        <v>B  (Bureauruimte)</v>
      </c>
      <c r="Q256" s="201"/>
      <c r="R256" s="202">
        <v>42</v>
      </c>
      <c r="S256" s="202" t="s">
        <v>2</v>
      </c>
      <c r="T256" s="202">
        <f>IF(R256&gt;0,IF(RIGHT(Ruimtestaat[[#This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56" s="202">
        <f>IF(T256&gt;0,VLOOKUP($J256,Ruimtegroepen[],3,FALSE)*VLOOKUP($L256,Vloersoorten[],3,FALSE)*VLOOKUP($S256,Frequenties[],3,FALSE)*VLOOKUP($A256,Locaties[],3,FALSE),0)</f>
        <v>0</v>
      </c>
      <c r="V256" s="202">
        <f>Ruimtestaat[[#This Row],[Uitvoeringen werkdagen]]*Ruimtestaat[[#This Row],[Oppervlak (netto)]]</f>
        <v>2730</v>
      </c>
      <c r="W256" s="242">
        <f>IF(U256&gt;0,Ruimtestaat[[#This Row],[Prest. (m2 /jaar) werkdagen]]/Ruimtestaat[[#This Row],[Norm (m2/uur) werkdagen]],0)</f>
        <v>0</v>
      </c>
      <c r="X256" s="243">
        <f>Ruimtestaat[[#This Row],[uren / jaar werkdagen]]*Tariefsopbouw!$D$38</f>
        <v>0</v>
      </c>
      <c r="Y256" s="33"/>
      <c r="Z256" s="33">
        <f>IF(Ruimtestaat[[#This Row],[Frequentie weekend]]&gt;0,VALUE(LEFT(Y256,1))*R256,0)</f>
        <v>0</v>
      </c>
      <c r="AA256" s="33">
        <f>IF($Z256&gt;0,VLOOKUP($J256,Ruimtegroepen[],3,FALSE)*VLOOKUP($L256,Vloersoorten[],3,FALSE)*VLOOKUP($Y256,Frequenties[],3,FALSE)*VLOOKUP(#REF!,Locaties[],3,FALSE),0)</f>
        <v>0</v>
      </c>
      <c r="AB256" s="33"/>
      <c r="AC256" s="33"/>
      <c r="AD256" s="33">
        <f>Ruimtestaat[[#This Row],[uren / jaar weekend]]*Tariefsopbouw!$D$40</f>
        <v>0</v>
      </c>
      <c r="AE256" s="86">
        <f>Ruimtestaat[[#This Row],[Prest. (m2 /jaar) weekend]]+Ruimtestaat[[#This Row],[Prest. (m2 /jaar) werkdagen]]</f>
        <v>2730</v>
      </c>
      <c r="AF256" s="86">
        <f>Ruimtestaat[[#This Row],[uren / jaar weekend]]+Ruimtestaat[[#This Row],[uren / jaar werkdagen]]</f>
        <v>0</v>
      </c>
      <c r="AG256" s="87">
        <f>Ruimtestaat[[#This Row],[kosten / jaar weekend]]+Ruimtestaat[[#This Row],[kosten / jaar werkdagen]]</f>
        <v>0</v>
      </c>
    </row>
    <row r="257" spans="1:33" ht="15" customHeight="1">
      <c r="A257" s="187">
        <v>4</v>
      </c>
      <c r="B257" s="21" t="str">
        <f>VLOOKUP(Ruimtestaat[[#This Row],[Code]],Locaties[#All],2,FALSE)</f>
        <v xml:space="preserve">Lyceumstraat </v>
      </c>
      <c r="C257" s="247" t="str">
        <f>VLOOKUP(Ruimtestaat[[#This Row],[Code]],Locaties[#All],4,FALSE)</f>
        <v>Lyceumstraat 36</v>
      </c>
      <c r="D257" s="247" t="str">
        <f>VLOOKUP(Ruimtestaat[[#This Row],[Code]],Locaties[#All],5,FALSE)</f>
        <v>7572 CR</v>
      </c>
      <c r="E257" s="187" t="str">
        <f>VLOOKUP(Ruimtestaat[[#This Row],[Code]],Locaties[#All],6,FALSE)</f>
        <v>Oldenzaal</v>
      </c>
      <c r="F257" s="248"/>
      <c r="G257" s="246" t="s">
        <v>679</v>
      </c>
      <c r="H257" s="246" t="s">
        <v>908</v>
      </c>
      <c r="I257" s="248" t="s">
        <v>593</v>
      </c>
      <c r="J257" s="187">
        <v>8</v>
      </c>
      <c r="K257" s="187" t="str">
        <f>VLOOKUP(Ruimtestaat[[#This Row],[Ruimte code]],Ruimtegroepen[#All],2,FALSE)</f>
        <v>Receptie</v>
      </c>
      <c r="L257" s="247" t="s">
        <v>1204</v>
      </c>
      <c r="M257" s="246" t="s">
        <v>1205</v>
      </c>
      <c r="N257" s="200">
        <v>26</v>
      </c>
      <c r="O257" s="200"/>
      <c r="P257" s="231" t="str">
        <f>VLOOKUP(Ruimtestaat[[#This Row],[Ruimte code]],Ruimtegroepen[#All],4,FALSE)</f>
        <v>V  (Verkeersruimte)</v>
      </c>
      <c r="Q257" s="201"/>
      <c r="R257" s="202">
        <v>42</v>
      </c>
      <c r="S257" s="202" t="s">
        <v>2</v>
      </c>
      <c r="T257" s="202">
        <f>IF(R257&gt;0,IF(RIGHT(Ruimtestaat[[#This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57" s="202">
        <f>IF(T257&gt;0,VLOOKUP($J257,Ruimtegroepen[],3,FALSE)*VLOOKUP($L257,Vloersoorten[],3,FALSE)*VLOOKUP($S257,Frequenties[],3,FALSE)*VLOOKUP($A257,Locaties[],3,FALSE),0)</f>
        <v>0</v>
      </c>
      <c r="V257" s="202">
        <f>Ruimtestaat[[#This Row],[Uitvoeringen werkdagen]]*Ruimtestaat[[#This Row],[Oppervlak (netto)]]</f>
        <v>5460</v>
      </c>
      <c r="W257" s="242">
        <f>IF(U257&gt;0,Ruimtestaat[[#This Row],[Prest. (m2 /jaar) werkdagen]]/Ruimtestaat[[#This Row],[Norm (m2/uur) werkdagen]],0)</f>
        <v>0</v>
      </c>
      <c r="X257" s="243">
        <f>Ruimtestaat[[#This Row],[uren / jaar werkdagen]]*Tariefsopbouw!$D$38</f>
        <v>0</v>
      </c>
      <c r="Y257" s="33"/>
      <c r="Z257" s="33">
        <f>IF(Ruimtestaat[[#This Row],[Frequentie weekend]]&gt;0,VALUE(LEFT(Y257,1))*R257,0)</f>
        <v>0</v>
      </c>
      <c r="AA257" s="33">
        <f>IF($Z257&gt;0,VLOOKUP($J257,Ruimtegroepen[],3,FALSE)*VLOOKUP($L257,Vloersoorten[],3,FALSE)*VLOOKUP($Y257,Frequenties[],3,FALSE)*VLOOKUP(#REF!,Locaties[],3,FALSE),0)</f>
        <v>0</v>
      </c>
      <c r="AB257" s="33"/>
      <c r="AC257" s="33"/>
      <c r="AD257" s="33">
        <f>Ruimtestaat[[#This Row],[uren / jaar weekend]]*Tariefsopbouw!$D$40</f>
        <v>0</v>
      </c>
      <c r="AE257" s="86">
        <f>Ruimtestaat[[#This Row],[Prest. (m2 /jaar) weekend]]+Ruimtestaat[[#This Row],[Prest. (m2 /jaar) werkdagen]]</f>
        <v>5460</v>
      </c>
      <c r="AF257" s="86">
        <f>Ruimtestaat[[#This Row],[uren / jaar weekend]]+Ruimtestaat[[#This Row],[uren / jaar werkdagen]]</f>
        <v>0</v>
      </c>
      <c r="AG257" s="87">
        <f>Ruimtestaat[[#This Row],[kosten / jaar weekend]]+Ruimtestaat[[#This Row],[kosten / jaar werkdagen]]</f>
        <v>0</v>
      </c>
    </row>
    <row r="258" spans="1:33" ht="15" customHeight="1">
      <c r="A258" s="187">
        <v>4</v>
      </c>
      <c r="B258" s="21" t="str">
        <f>VLOOKUP(Ruimtestaat[[#This Row],[Code]],Locaties[#All],2,FALSE)</f>
        <v xml:space="preserve">Lyceumstraat </v>
      </c>
      <c r="C258" s="247" t="str">
        <f>VLOOKUP(Ruimtestaat[[#This Row],[Code]],Locaties[#All],4,FALSE)</f>
        <v>Lyceumstraat 36</v>
      </c>
      <c r="D258" s="247" t="str">
        <f>VLOOKUP(Ruimtestaat[[#This Row],[Code]],Locaties[#All],5,FALSE)</f>
        <v>7572 CR</v>
      </c>
      <c r="E258" s="187" t="str">
        <f>VLOOKUP(Ruimtestaat[[#This Row],[Code]],Locaties[#All],6,FALSE)</f>
        <v>Oldenzaal</v>
      </c>
      <c r="F258" s="248"/>
      <c r="G258" s="246" t="s">
        <v>679</v>
      </c>
      <c r="H258" s="246" t="s">
        <v>909</v>
      </c>
      <c r="I258" s="248" t="s">
        <v>910</v>
      </c>
      <c r="J258" s="187">
        <v>2</v>
      </c>
      <c r="K258" s="187" t="str">
        <f>VLOOKUP(Ruimtestaat[[#This Row],[Ruimte code]],Ruimtegroepen[#All],2,FALSE)</f>
        <v>Kantoren/kantoortuin</v>
      </c>
      <c r="L258" s="247" t="s">
        <v>1204</v>
      </c>
      <c r="M258" s="246" t="s">
        <v>1205</v>
      </c>
      <c r="N258" s="200">
        <v>18</v>
      </c>
      <c r="O258" s="200"/>
      <c r="P258" s="231" t="str">
        <f>VLOOKUP(Ruimtestaat[[#This Row],[Ruimte code]],Ruimtegroepen[#All],4,FALSE)</f>
        <v>B  (Bureauruimte)</v>
      </c>
      <c r="Q258" s="201"/>
      <c r="R258" s="202">
        <v>42</v>
      </c>
      <c r="S258" s="202" t="s">
        <v>2</v>
      </c>
      <c r="T258" s="202">
        <f>IF(R258&gt;0,IF(RIGHT(Ruimtestaat[[#This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58" s="202">
        <f>IF(T258&gt;0,VLOOKUP($J258,Ruimtegroepen[],3,FALSE)*VLOOKUP($L258,Vloersoorten[],3,FALSE)*VLOOKUP($S258,Frequenties[],3,FALSE)*VLOOKUP($A258,Locaties[],3,FALSE),0)</f>
        <v>0</v>
      </c>
      <c r="V258" s="202">
        <f>Ruimtestaat[[#This Row],[Uitvoeringen werkdagen]]*Ruimtestaat[[#This Row],[Oppervlak (netto)]]</f>
        <v>3780</v>
      </c>
      <c r="W258" s="242">
        <f>IF(U258&gt;0,Ruimtestaat[[#This Row],[Prest. (m2 /jaar) werkdagen]]/Ruimtestaat[[#This Row],[Norm (m2/uur) werkdagen]],0)</f>
        <v>0</v>
      </c>
      <c r="X258" s="243">
        <f>Ruimtestaat[[#This Row],[uren / jaar werkdagen]]*Tariefsopbouw!$D$38</f>
        <v>0</v>
      </c>
      <c r="Y258" s="33"/>
      <c r="Z258" s="33">
        <f>IF(Ruimtestaat[[#This Row],[Frequentie weekend]]&gt;0,VALUE(LEFT(Y258,1))*R258,0)</f>
        <v>0</v>
      </c>
      <c r="AA258" s="33">
        <f>IF($Z258&gt;0,VLOOKUP($J258,Ruimtegroepen[],3,FALSE)*VLOOKUP($L258,Vloersoorten[],3,FALSE)*VLOOKUP($Y258,Frequenties[],3,FALSE)*VLOOKUP(#REF!,Locaties[],3,FALSE),0)</f>
        <v>0</v>
      </c>
      <c r="AB258" s="33"/>
      <c r="AC258" s="33"/>
      <c r="AD258" s="33">
        <f>Ruimtestaat[[#This Row],[uren / jaar weekend]]*Tariefsopbouw!$D$40</f>
        <v>0</v>
      </c>
      <c r="AE258" s="86">
        <f>Ruimtestaat[[#This Row],[Prest. (m2 /jaar) weekend]]+Ruimtestaat[[#This Row],[Prest. (m2 /jaar) werkdagen]]</f>
        <v>3780</v>
      </c>
      <c r="AF258" s="86">
        <f>Ruimtestaat[[#This Row],[uren / jaar weekend]]+Ruimtestaat[[#This Row],[uren / jaar werkdagen]]</f>
        <v>0</v>
      </c>
      <c r="AG258" s="87">
        <f>Ruimtestaat[[#This Row],[kosten / jaar weekend]]+Ruimtestaat[[#This Row],[kosten / jaar werkdagen]]</f>
        <v>0</v>
      </c>
    </row>
    <row r="259" spans="1:33" ht="15" customHeight="1">
      <c r="A259" s="187">
        <v>4</v>
      </c>
      <c r="B259" s="21" t="str">
        <f>VLOOKUP(Ruimtestaat[[#This Row],[Code]],Locaties[#All],2,FALSE)</f>
        <v xml:space="preserve">Lyceumstraat </v>
      </c>
      <c r="C259" s="247" t="str">
        <f>VLOOKUP(Ruimtestaat[[#This Row],[Code]],Locaties[#All],4,FALSE)</f>
        <v>Lyceumstraat 36</v>
      </c>
      <c r="D259" s="247" t="str">
        <f>VLOOKUP(Ruimtestaat[[#This Row],[Code]],Locaties[#All],5,FALSE)</f>
        <v>7572 CR</v>
      </c>
      <c r="E259" s="187" t="str">
        <f>VLOOKUP(Ruimtestaat[[#This Row],[Code]],Locaties[#All],6,FALSE)</f>
        <v>Oldenzaal</v>
      </c>
      <c r="F259" s="248"/>
      <c r="G259" s="246" t="s">
        <v>679</v>
      </c>
      <c r="H259" s="246" t="s">
        <v>911</v>
      </c>
      <c r="I259" s="248" t="s">
        <v>912</v>
      </c>
      <c r="J259" s="187">
        <v>2</v>
      </c>
      <c r="K259" s="187" t="str">
        <f>VLOOKUP(Ruimtestaat[[#This Row],[Ruimte code]],Ruimtegroepen[#All],2,FALSE)</f>
        <v>Kantoren/kantoortuin</v>
      </c>
      <c r="L259" s="247" t="s">
        <v>1204</v>
      </c>
      <c r="M259" s="246" t="s">
        <v>1205</v>
      </c>
      <c r="N259" s="200">
        <v>45</v>
      </c>
      <c r="O259" s="200"/>
      <c r="P259" s="231" t="str">
        <f>VLOOKUP(Ruimtestaat[[#This Row],[Ruimte code]],Ruimtegroepen[#All],4,FALSE)</f>
        <v>B  (Bureauruimte)</v>
      </c>
      <c r="Q259" s="201"/>
      <c r="R259" s="202">
        <v>42</v>
      </c>
      <c r="S259" s="202" t="s">
        <v>2</v>
      </c>
      <c r="T259" s="202">
        <f>IF(R259&gt;0,IF(RIGHT(Ruimtestaat[[#This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59" s="202">
        <f>IF(T259&gt;0,VLOOKUP($J259,Ruimtegroepen[],3,FALSE)*VLOOKUP($L259,Vloersoorten[],3,FALSE)*VLOOKUP($S259,Frequenties[],3,FALSE)*VLOOKUP($A259,Locaties[],3,FALSE),0)</f>
        <v>0</v>
      </c>
      <c r="V259" s="202">
        <f>Ruimtestaat[[#This Row],[Uitvoeringen werkdagen]]*Ruimtestaat[[#This Row],[Oppervlak (netto)]]</f>
        <v>9450</v>
      </c>
      <c r="W259" s="242">
        <f>IF(U259&gt;0,Ruimtestaat[[#This Row],[Prest. (m2 /jaar) werkdagen]]/Ruimtestaat[[#This Row],[Norm (m2/uur) werkdagen]],0)</f>
        <v>0</v>
      </c>
      <c r="X259" s="243">
        <f>Ruimtestaat[[#This Row],[uren / jaar werkdagen]]*Tariefsopbouw!$D$38</f>
        <v>0</v>
      </c>
      <c r="Y259" s="33"/>
      <c r="Z259" s="33">
        <f>IF(Ruimtestaat[[#This Row],[Frequentie weekend]]&gt;0,VALUE(LEFT(Y259,1))*R259,0)</f>
        <v>0</v>
      </c>
      <c r="AA259" s="33">
        <f>IF($Z259&gt;0,VLOOKUP($J259,Ruimtegroepen[],3,FALSE)*VLOOKUP($L259,Vloersoorten[],3,FALSE)*VLOOKUP($Y259,Frequenties[],3,FALSE)*VLOOKUP(#REF!,Locaties[],3,FALSE),0)</f>
        <v>0</v>
      </c>
      <c r="AB259" s="33"/>
      <c r="AC259" s="33"/>
      <c r="AD259" s="33">
        <f>Ruimtestaat[[#This Row],[uren / jaar weekend]]*Tariefsopbouw!$D$40</f>
        <v>0</v>
      </c>
      <c r="AE259" s="86">
        <f>Ruimtestaat[[#This Row],[Prest. (m2 /jaar) weekend]]+Ruimtestaat[[#This Row],[Prest. (m2 /jaar) werkdagen]]</f>
        <v>9450</v>
      </c>
      <c r="AF259" s="86">
        <f>Ruimtestaat[[#This Row],[uren / jaar weekend]]+Ruimtestaat[[#This Row],[uren / jaar werkdagen]]</f>
        <v>0</v>
      </c>
      <c r="AG259" s="87">
        <f>Ruimtestaat[[#This Row],[kosten / jaar weekend]]+Ruimtestaat[[#This Row],[kosten / jaar werkdagen]]</f>
        <v>0</v>
      </c>
    </row>
    <row r="260" spans="1:33" ht="15" customHeight="1">
      <c r="A260" s="187">
        <v>4</v>
      </c>
      <c r="B260" s="21" t="str">
        <f>VLOOKUP(Ruimtestaat[[#This Row],[Code]],Locaties[#All],2,FALSE)</f>
        <v xml:space="preserve">Lyceumstraat </v>
      </c>
      <c r="C260" s="247" t="str">
        <f>VLOOKUP(Ruimtestaat[[#This Row],[Code]],Locaties[#All],4,FALSE)</f>
        <v>Lyceumstraat 36</v>
      </c>
      <c r="D260" s="247" t="str">
        <f>VLOOKUP(Ruimtestaat[[#This Row],[Code]],Locaties[#All],5,FALSE)</f>
        <v>7572 CR</v>
      </c>
      <c r="E260" s="187" t="str">
        <f>VLOOKUP(Ruimtestaat[[#This Row],[Code]],Locaties[#All],6,FALSE)</f>
        <v>Oldenzaal</v>
      </c>
      <c r="F260" s="248"/>
      <c r="G260" s="246" t="s">
        <v>679</v>
      </c>
      <c r="H260" s="246" t="s">
        <v>913</v>
      </c>
      <c r="I260" s="248" t="s">
        <v>914</v>
      </c>
      <c r="J260" s="202">
        <v>2</v>
      </c>
      <c r="K260" s="202" t="str">
        <f>VLOOKUP(Ruimtestaat[[#This Row],[Ruimte code]],Ruimtegroepen[#All],2,FALSE)</f>
        <v>Kantoren/kantoortuin</v>
      </c>
      <c r="L260" s="247" t="s">
        <v>1204</v>
      </c>
      <c r="M260" s="246" t="s">
        <v>1205</v>
      </c>
      <c r="N260" s="200">
        <v>24</v>
      </c>
      <c r="O260" s="200"/>
      <c r="P260" s="231" t="str">
        <f>VLOOKUP(Ruimtestaat[[#This Row],[Ruimte code]],Ruimtegroepen[#All],4,FALSE)</f>
        <v>B  (Bureauruimte)</v>
      </c>
      <c r="Q260" s="201"/>
      <c r="R260" s="202">
        <v>42</v>
      </c>
      <c r="S260" s="202" t="s">
        <v>2</v>
      </c>
      <c r="T260" s="202">
        <f>IF(R260&gt;0,IF(RIGHT(Ruimtestaat[[#This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60" s="202">
        <f>IF(T260&gt;0,VLOOKUP($J260,Ruimtegroepen[],3,FALSE)*VLOOKUP($L260,Vloersoorten[],3,FALSE)*VLOOKUP($S260,Frequenties[],3,FALSE)*VLOOKUP($A260,Locaties[],3,FALSE),0)</f>
        <v>0</v>
      </c>
      <c r="V260" s="202">
        <f>Ruimtestaat[[#This Row],[Uitvoeringen werkdagen]]*Ruimtestaat[[#This Row],[Oppervlak (netto)]]</f>
        <v>5040</v>
      </c>
      <c r="W260" s="242">
        <f>IF(U260&gt;0,Ruimtestaat[[#This Row],[Prest. (m2 /jaar) werkdagen]]/Ruimtestaat[[#This Row],[Norm (m2/uur) werkdagen]],0)</f>
        <v>0</v>
      </c>
      <c r="X260" s="243">
        <f>Ruimtestaat[[#This Row],[uren / jaar werkdagen]]*Tariefsopbouw!$D$38</f>
        <v>0</v>
      </c>
      <c r="Y260" s="33"/>
      <c r="Z260" s="33">
        <f>IF(Ruimtestaat[[#This Row],[Frequentie weekend]]&gt;0,VALUE(LEFT(Y260,1))*R260,0)</f>
        <v>0</v>
      </c>
      <c r="AA260" s="33">
        <f>IF($Z260&gt;0,VLOOKUP($J260,Ruimtegroepen[],3,FALSE)*VLOOKUP($L260,Vloersoorten[],3,FALSE)*VLOOKUP($Y260,Frequenties[],3,FALSE)*VLOOKUP(#REF!,Locaties[],3,FALSE),0)</f>
        <v>0</v>
      </c>
      <c r="AB260" s="33"/>
      <c r="AC260" s="33"/>
      <c r="AD260" s="33">
        <f>Ruimtestaat[[#This Row],[uren / jaar weekend]]*Tariefsopbouw!$D$40</f>
        <v>0</v>
      </c>
      <c r="AE260" s="86">
        <f>Ruimtestaat[[#This Row],[Prest. (m2 /jaar) weekend]]+Ruimtestaat[[#This Row],[Prest. (m2 /jaar) werkdagen]]</f>
        <v>5040</v>
      </c>
      <c r="AF260" s="86">
        <f>Ruimtestaat[[#This Row],[uren / jaar weekend]]+Ruimtestaat[[#This Row],[uren / jaar werkdagen]]</f>
        <v>0</v>
      </c>
      <c r="AG260" s="87">
        <f>Ruimtestaat[[#This Row],[kosten / jaar weekend]]+Ruimtestaat[[#This Row],[kosten / jaar werkdagen]]</f>
        <v>0</v>
      </c>
    </row>
    <row r="261" spans="1:33" ht="15" customHeight="1">
      <c r="A261" s="187">
        <v>4</v>
      </c>
      <c r="B261" s="21" t="str">
        <f>VLOOKUP(Ruimtestaat[[#This Row],[Code]],Locaties[#All],2,FALSE)</f>
        <v xml:space="preserve">Lyceumstraat </v>
      </c>
      <c r="C261" s="247" t="str">
        <f>VLOOKUP(Ruimtestaat[[#This Row],[Code]],Locaties[#All],4,FALSE)</f>
        <v>Lyceumstraat 36</v>
      </c>
      <c r="D261" s="247" t="str">
        <f>VLOOKUP(Ruimtestaat[[#This Row],[Code]],Locaties[#All],5,FALSE)</f>
        <v>7572 CR</v>
      </c>
      <c r="E261" s="187" t="str">
        <f>VLOOKUP(Ruimtestaat[[#This Row],[Code]],Locaties[#All],6,FALSE)</f>
        <v>Oldenzaal</v>
      </c>
      <c r="F261" s="248"/>
      <c r="G261" s="246" t="s">
        <v>679</v>
      </c>
      <c r="H261" s="246" t="s">
        <v>915</v>
      </c>
      <c r="I261" s="248" t="s">
        <v>465</v>
      </c>
      <c r="J261" s="187">
        <v>16</v>
      </c>
      <c r="K261" s="187" t="str">
        <f>VLOOKUP(Ruimtestaat[[#This Row],[Ruimte code]],Ruimtegroepen[#All],2,FALSE)</f>
        <v>Leslokalen/computerlokaal</v>
      </c>
      <c r="L261" s="247" t="s">
        <v>677</v>
      </c>
      <c r="M261" s="246" t="s">
        <v>1200</v>
      </c>
      <c r="N261" s="200">
        <v>58</v>
      </c>
      <c r="O261" s="200"/>
      <c r="P261" s="231" t="str">
        <f>VLOOKUP(Ruimtestaat[[#This Row],[Ruimte code]],Ruimtegroepen[#All],4,FALSE)</f>
        <v>L  (Lesruimte)</v>
      </c>
      <c r="Q261" s="201"/>
      <c r="R261" s="202">
        <v>42</v>
      </c>
      <c r="S261" s="202" t="s">
        <v>2</v>
      </c>
      <c r="T261" s="202">
        <f>IF(R261&gt;0,IF(RIGHT(Ruimtestaat[[#This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61" s="202">
        <f>IF(T261&gt;0,VLOOKUP($J261,Ruimtegroepen[],3,FALSE)*VLOOKUP($L261,Vloersoorten[],3,FALSE)*VLOOKUP($S261,Frequenties[],3,FALSE)*VLOOKUP($A261,Locaties[],3,FALSE),0)</f>
        <v>0</v>
      </c>
      <c r="V261" s="202">
        <f>Ruimtestaat[[#This Row],[Uitvoeringen werkdagen]]*Ruimtestaat[[#This Row],[Oppervlak (netto)]]</f>
        <v>12180</v>
      </c>
      <c r="W261" s="242">
        <f>IF(U261&gt;0,Ruimtestaat[[#This Row],[Prest. (m2 /jaar) werkdagen]]/Ruimtestaat[[#This Row],[Norm (m2/uur) werkdagen]],0)</f>
        <v>0</v>
      </c>
      <c r="X261" s="243">
        <f>Ruimtestaat[[#This Row],[uren / jaar werkdagen]]*Tariefsopbouw!$D$38</f>
        <v>0</v>
      </c>
      <c r="Y261" s="33"/>
      <c r="Z261" s="33">
        <f>IF(Ruimtestaat[[#This Row],[Frequentie weekend]]&gt;0,VALUE(LEFT(Y261,1))*R261,0)</f>
        <v>0</v>
      </c>
      <c r="AA261" s="33">
        <f>IF($Z261&gt;0,VLOOKUP($J261,Ruimtegroepen[],3,FALSE)*VLOOKUP($L261,Vloersoorten[],3,FALSE)*VLOOKUP($Y261,Frequenties[],3,FALSE)*VLOOKUP(#REF!,Locaties[],3,FALSE),0)</f>
        <v>0</v>
      </c>
      <c r="AB261" s="33"/>
      <c r="AC261" s="33"/>
      <c r="AD261" s="33">
        <f>Ruimtestaat[[#This Row],[uren / jaar weekend]]*Tariefsopbouw!$D$40</f>
        <v>0</v>
      </c>
      <c r="AE261" s="86">
        <f>Ruimtestaat[[#This Row],[Prest. (m2 /jaar) weekend]]+Ruimtestaat[[#This Row],[Prest. (m2 /jaar) werkdagen]]</f>
        <v>12180</v>
      </c>
      <c r="AF261" s="86">
        <f>Ruimtestaat[[#This Row],[uren / jaar weekend]]+Ruimtestaat[[#This Row],[uren / jaar werkdagen]]</f>
        <v>0</v>
      </c>
      <c r="AG261" s="87">
        <f>Ruimtestaat[[#This Row],[kosten / jaar weekend]]+Ruimtestaat[[#This Row],[kosten / jaar werkdagen]]</f>
        <v>0</v>
      </c>
    </row>
    <row r="262" spans="1:33" ht="15" customHeight="1">
      <c r="A262" s="187">
        <v>4</v>
      </c>
      <c r="B262" s="21" t="str">
        <f>VLOOKUP(Ruimtestaat[[#This Row],[Code]],Locaties[#All],2,FALSE)</f>
        <v xml:space="preserve">Lyceumstraat </v>
      </c>
      <c r="C262" s="247" t="str">
        <f>VLOOKUP(Ruimtestaat[[#This Row],[Code]],Locaties[#All],4,FALSE)</f>
        <v>Lyceumstraat 36</v>
      </c>
      <c r="D262" s="247" t="str">
        <f>VLOOKUP(Ruimtestaat[[#This Row],[Code]],Locaties[#All],5,FALSE)</f>
        <v>7572 CR</v>
      </c>
      <c r="E262" s="187" t="str">
        <f>VLOOKUP(Ruimtestaat[[#This Row],[Code]],Locaties[#All],6,FALSE)</f>
        <v>Oldenzaal</v>
      </c>
      <c r="F262" s="248"/>
      <c r="G262" s="246" t="s">
        <v>679</v>
      </c>
      <c r="H262" s="246" t="s">
        <v>916</v>
      </c>
      <c r="I262" s="248" t="s">
        <v>917</v>
      </c>
      <c r="J262" s="247">
        <v>2</v>
      </c>
      <c r="K262" s="247" t="str">
        <f>VLOOKUP(Ruimtestaat[[#This Row],[Ruimte code]],Ruimtegroepen[#All],2,FALSE)</f>
        <v>Kantoren/kantoortuin</v>
      </c>
      <c r="L262" s="247" t="s">
        <v>1204</v>
      </c>
      <c r="M262" s="246" t="s">
        <v>1205</v>
      </c>
      <c r="N262" s="200">
        <v>23</v>
      </c>
      <c r="O262" s="200"/>
      <c r="P262" s="231" t="str">
        <f>VLOOKUP(Ruimtestaat[[#This Row],[Ruimte code]],Ruimtegroepen[#All],4,FALSE)</f>
        <v>B  (Bureauruimte)</v>
      </c>
      <c r="Q262" s="201"/>
      <c r="R262" s="202">
        <v>42</v>
      </c>
      <c r="S262" s="202" t="s">
        <v>2</v>
      </c>
      <c r="T262" s="202">
        <f>IF(R262&gt;0,IF(RIGHT(Ruimtestaat[[#This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62" s="202">
        <f>IF(T262&gt;0,VLOOKUP($J262,Ruimtegroepen[],3,FALSE)*VLOOKUP($L262,Vloersoorten[],3,FALSE)*VLOOKUP($S262,Frequenties[],3,FALSE)*VLOOKUP($A262,Locaties[],3,FALSE),0)</f>
        <v>0</v>
      </c>
      <c r="V262" s="202">
        <f>Ruimtestaat[[#This Row],[Uitvoeringen werkdagen]]*Ruimtestaat[[#This Row],[Oppervlak (netto)]]</f>
        <v>4830</v>
      </c>
      <c r="W262" s="242">
        <f>IF(U262&gt;0,Ruimtestaat[[#This Row],[Prest. (m2 /jaar) werkdagen]]/Ruimtestaat[[#This Row],[Norm (m2/uur) werkdagen]],0)</f>
        <v>0</v>
      </c>
      <c r="X262" s="243">
        <f>Ruimtestaat[[#This Row],[uren / jaar werkdagen]]*Tariefsopbouw!$D$38</f>
        <v>0</v>
      </c>
      <c r="Y262" s="33"/>
      <c r="Z262" s="33">
        <f>IF(Ruimtestaat[[#This Row],[Frequentie weekend]]&gt;0,VALUE(LEFT(Y262,1))*R262,0)</f>
        <v>0</v>
      </c>
      <c r="AA262" s="33">
        <f>IF($Z262&gt;0,VLOOKUP($J262,Ruimtegroepen[],3,FALSE)*VLOOKUP($L262,Vloersoorten[],3,FALSE)*VLOOKUP($Y262,Frequenties[],3,FALSE)*VLOOKUP(#REF!,Locaties[],3,FALSE),0)</f>
        <v>0</v>
      </c>
      <c r="AB262" s="33"/>
      <c r="AC262" s="33"/>
      <c r="AD262" s="33">
        <f>Ruimtestaat[[#This Row],[uren / jaar weekend]]*Tariefsopbouw!$D$40</f>
        <v>0</v>
      </c>
      <c r="AE262" s="86">
        <f>Ruimtestaat[[#This Row],[Prest. (m2 /jaar) weekend]]+Ruimtestaat[[#This Row],[Prest. (m2 /jaar) werkdagen]]</f>
        <v>4830</v>
      </c>
      <c r="AF262" s="86">
        <f>Ruimtestaat[[#This Row],[uren / jaar weekend]]+Ruimtestaat[[#This Row],[uren / jaar werkdagen]]</f>
        <v>0</v>
      </c>
      <c r="AG262" s="87">
        <f>Ruimtestaat[[#This Row],[kosten / jaar weekend]]+Ruimtestaat[[#This Row],[kosten / jaar werkdagen]]</f>
        <v>0</v>
      </c>
    </row>
    <row r="263" spans="1:33" ht="15" customHeight="1">
      <c r="A263" s="187">
        <v>4</v>
      </c>
      <c r="B263" s="21" t="str">
        <f>VLOOKUP(Ruimtestaat[[#This Row],[Code]],Locaties[#All],2,FALSE)</f>
        <v xml:space="preserve">Lyceumstraat </v>
      </c>
      <c r="C263" s="247" t="str">
        <f>VLOOKUP(Ruimtestaat[[#This Row],[Code]],Locaties[#All],4,FALSE)</f>
        <v>Lyceumstraat 36</v>
      </c>
      <c r="D263" s="247" t="str">
        <f>VLOOKUP(Ruimtestaat[[#This Row],[Code]],Locaties[#All],5,FALSE)</f>
        <v>7572 CR</v>
      </c>
      <c r="E263" s="187" t="str">
        <f>VLOOKUP(Ruimtestaat[[#This Row],[Code]],Locaties[#All],6,FALSE)</f>
        <v>Oldenzaal</v>
      </c>
      <c r="F263" s="248"/>
      <c r="G263" s="246" t="s">
        <v>679</v>
      </c>
      <c r="H263" s="246" t="s">
        <v>918</v>
      </c>
      <c r="I263" s="248" t="s">
        <v>465</v>
      </c>
      <c r="J263" s="247">
        <v>16</v>
      </c>
      <c r="K263" s="247" t="str">
        <f>VLOOKUP(Ruimtestaat[[#This Row],[Ruimte code]],Ruimtegroepen[#All],2,FALSE)</f>
        <v>Leslokalen/computerlokaal</v>
      </c>
      <c r="L263" s="247" t="s">
        <v>677</v>
      </c>
      <c r="M263" s="246" t="s">
        <v>1200</v>
      </c>
      <c r="N263" s="200">
        <v>54</v>
      </c>
      <c r="O263" s="200"/>
      <c r="P263" s="231" t="str">
        <f>VLOOKUP(Ruimtestaat[[#This Row],[Ruimte code]],Ruimtegroepen[#All],4,FALSE)</f>
        <v>L  (Lesruimte)</v>
      </c>
      <c r="Q263" s="201"/>
      <c r="R263" s="202">
        <v>42</v>
      </c>
      <c r="S263" s="202" t="s">
        <v>2</v>
      </c>
      <c r="T263" s="202">
        <f>IF(R263&gt;0,IF(RIGHT(Ruimtestaat[[#This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63" s="202">
        <f>IF(T263&gt;0,VLOOKUP($J263,Ruimtegroepen[],3,FALSE)*VLOOKUP($L263,Vloersoorten[],3,FALSE)*VLOOKUP($S263,Frequenties[],3,FALSE)*VLOOKUP($A263,Locaties[],3,FALSE),0)</f>
        <v>0</v>
      </c>
      <c r="V263" s="202">
        <f>Ruimtestaat[[#This Row],[Uitvoeringen werkdagen]]*Ruimtestaat[[#This Row],[Oppervlak (netto)]]</f>
        <v>11340</v>
      </c>
      <c r="W263" s="242">
        <f>IF(U263&gt;0,Ruimtestaat[[#This Row],[Prest. (m2 /jaar) werkdagen]]/Ruimtestaat[[#This Row],[Norm (m2/uur) werkdagen]],0)</f>
        <v>0</v>
      </c>
      <c r="X263" s="243">
        <f>Ruimtestaat[[#This Row],[uren / jaar werkdagen]]*Tariefsopbouw!$D$38</f>
        <v>0</v>
      </c>
      <c r="Y263" s="33"/>
      <c r="Z263" s="33">
        <f>IF(Ruimtestaat[[#This Row],[Frequentie weekend]]&gt;0,VALUE(LEFT(Y263,1))*R263,0)</f>
        <v>0</v>
      </c>
      <c r="AA263" s="33">
        <f>IF($Z263&gt;0,VLOOKUP($J263,Ruimtegroepen[],3,FALSE)*VLOOKUP($L263,Vloersoorten[],3,FALSE)*VLOOKUP($Y263,Frequenties[],3,FALSE)*VLOOKUP(#REF!,Locaties[],3,FALSE),0)</f>
        <v>0</v>
      </c>
      <c r="AB263" s="33"/>
      <c r="AC263" s="33"/>
      <c r="AD263" s="33">
        <f>Ruimtestaat[[#This Row],[uren / jaar weekend]]*Tariefsopbouw!$D$40</f>
        <v>0</v>
      </c>
      <c r="AE263" s="86">
        <f>Ruimtestaat[[#This Row],[Prest. (m2 /jaar) weekend]]+Ruimtestaat[[#This Row],[Prest. (m2 /jaar) werkdagen]]</f>
        <v>11340</v>
      </c>
      <c r="AF263" s="86">
        <f>Ruimtestaat[[#This Row],[uren / jaar weekend]]+Ruimtestaat[[#This Row],[uren / jaar werkdagen]]</f>
        <v>0</v>
      </c>
      <c r="AG263" s="87">
        <f>Ruimtestaat[[#This Row],[kosten / jaar weekend]]+Ruimtestaat[[#This Row],[kosten / jaar werkdagen]]</f>
        <v>0</v>
      </c>
    </row>
    <row r="264" spans="1:33" ht="15" customHeight="1">
      <c r="A264" s="187">
        <v>4</v>
      </c>
      <c r="B264" s="21" t="str">
        <f>VLOOKUP(Ruimtestaat[[#This Row],[Code]],Locaties[#All],2,FALSE)</f>
        <v xml:space="preserve">Lyceumstraat </v>
      </c>
      <c r="C264" s="247" t="str">
        <f>VLOOKUP(Ruimtestaat[[#This Row],[Code]],Locaties[#All],4,FALSE)</f>
        <v>Lyceumstraat 36</v>
      </c>
      <c r="D264" s="247" t="str">
        <f>VLOOKUP(Ruimtestaat[[#This Row],[Code]],Locaties[#All],5,FALSE)</f>
        <v>7572 CR</v>
      </c>
      <c r="E264" s="187" t="str">
        <f>VLOOKUP(Ruimtestaat[[#This Row],[Code]],Locaties[#All],6,FALSE)</f>
        <v>Oldenzaal</v>
      </c>
      <c r="F264" s="248"/>
      <c r="G264" s="246" t="s">
        <v>679</v>
      </c>
      <c r="H264" s="246" t="s">
        <v>919</v>
      </c>
      <c r="I264" s="248" t="s">
        <v>590</v>
      </c>
      <c r="J264" s="247">
        <v>2</v>
      </c>
      <c r="K264" s="247" t="str">
        <f>VLOOKUP(Ruimtestaat[[#This Row],[Ruimte code]],Ruimtegroepen[#All],2,FALSE)</f>
        <v>Kantoren/kantoortuin</v>
      </c>
      <c r="L264" s="247" t="s">
        <v>1204</v>
      </c>
      <c r="M264" s="246" t="s">
        <v>1205</v>
      </c>
      <c r="N264" s="200">
        <v>42</v>
      </c>
      <c r="O264" s="200"/>
      <c r="P264" s="231" t="str">
        <f>VLOOKUP(Ruimtestaat[[#This Row],[Ruimte code]],Ruimtegroepen[#All],4,FALSE)</f>
        <v>B  (Bureauruimte)</v>
      </c>
      <c r="Q264" s="201"/>
      <c r="R264" s="202">
        <v>42</v>
      </c>
      <c r="S264" s="202" t="s">
        <v>2</v>
      </c>
      <c r="T264" s="202">
        <f>IF(R264&gt;0,IF(RIGHT(Ruimtestaat[[#This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64" s="202">
        <f>IF(T264&gt;0,VLOOKUP($J264,Ruimtegroepen[],3,FALSE)*VLOOKUP($L264,Vloersoorten[],3,FALSE)*VLOOKUP($S264,Frequenties[],3,FALSE)*VLOOKUP($A264,Locaties[],3,FALSE),0)</f>
        <v>0</v>
      </c>
      <c r="V264" s="202">
        <f>Ruimtestaat[[#This Row],[Uitvoeringen werkdagen]]*Ruimtestaat[[#This Row],[Oppervlak (netto)]]</f>
        <v>8820</v>
      </c>
      <c r="W264" s="242">
        <f>IF(U264&gt;0,Ruimtestaat[[#This Row],[Prest. (m2 /jaar) werkdagen]]/Ruimtestaat[[#This Row],[Norm (m2/uur) werkdagen]],0)</f>
        <v>0</v>
      </c>
      <c r="X264" s="243">
        <f>Ruimtestaat[[#This Row],[uren / jaar werkdagen]]*Tariefsopbouw!$D$38</f>
        <v>0</v>
      </c>
      <c r="Y264" s="33"/>
      <c r="Z264" s="33">
        <f>IF(Ruimtestaat[[#This Row],[Frequentie weekend]]&gt;0,VALUE(LEFT(Y264,1))*R264,0)</f>
        <v>0</v>
      </c>
      <c r="AA264" s="33">
        <f>IF($Z264&gt;0,VLOOKUP($J264,Ruimtegroepen[],3,FALSE)*VLOOKUP($L264,Vloersoorten[],3,FALSE)*VLOOKUP($Y264,Frequenties[],3,FALSE)*VLOOKUP(#REF!,Locaties[],3,FALSE),0)</f>
        <v>0</v>
      </c>
      <c r="AB264" s="33"/>
      <c r="AC264" s="33"/>
      <c r="AD264" s="33">
        <f>Ruimtestaat[[#This Row],[uren / jaar weekend]]*Tariefsopbouw!$D$40</f>
        <v>0</v>
      </c>
      <c r="AE264" s="86">
        <f>Ruimtestaat[[#This Row],[Prest. (m2 /jaar) weekend]]+Ruimtestaat[[#This Row],[Prest. (m2 /jaar) werkdagen]]</f>
        <v>8820</v>
      </c>
      <c r="AF264" s="86">
        <f>Ruimtestaat[[#This Row],[uren / jaar weekend]]+Ruimtestaat[[#This Row],[uren / jaar werkdagen]]</f>
        <v>0</v>
      </c>
      <c r="AG264" s="87">
        <f>Ruimtestaat[[#This Row],[kosten / jaar weekend]]+Ruimtestaat[[#This Row],[kosten / jaar werkdagen]]</f>
        <v>0</v>
      </c>
    </row>
    <row r="265" spans="1:33" ht="15" customHeight="1">
      <c r="A265" s="187">
        <v>4</v>
      </c>
      <c r="B265" s="21" t="str">
        <f>VLOOKUP(Ruimtestaat[[#This Row],[Code]],Locaties[#All],2,FALSE)</f>
        <v xml:space="preserve">Lyceumstraat </v>
      </c>
      <c r="C265" s="247" t="str">
        <f>VLOOKUP(Ruimtestaat[[#This Row],[Code]],Locaties[#All],4,FALSE)</f>
        <v>Lyceumstraat 36</v>
      </c>
      <c r="D265" s="247" t="str">
        <f>VLOOKUP(Ruimtestaat[[#This Row],[Code]],Locaties[#All],5,FALSE)</f>
        <v>7572 CR</v>
      </c>
      <c r="E265" s="187" t="str">
        <f>VLOOKUP(Ruimtestaat[[#This Row],[Code]],Locaties[#All],6,FALSE)</f>
        <v>Oldenzaal</v>
      </c>
      <c r="F265" s="248"/>
      <c r="G265" s="246" t="s">
        <v>679</v>
      </c>
      <c r="H265" s="246" t="s">
        <v>920</v>
      </c>
      <c r="I265" s="248" t="s">
        <v>465</v>
      </c>
      <c r="J265" s="187">
        <v>16</v>
      </c>
      <c r="K265" s="187" t="str">
        <f>VLOOKUP(Ruimtestaat[[#This Row],[Ruimte code]],Ruimtegroepen[#All],2,FALSE)</f>
        <v>Leslokalen/computerlokaal</v>
      </c>
      <c r="L265" s="247" t="s">
        <v>677</v>
      </c>
      <c r="M265" s="246" t="s">
        <v>1200</v>
      </c>
      <c r="N265" s="200">
        <v>54</v>
      </c>
      <c r="O265" s="200"/>
      <c r="P265" s="231" t="str">
        <f>VLOOKUP(Ruimtestaat[[#This Row],[Ruimte code]],Ruimtegroepen[#All],4,FALSE)</f>
        <v>L  (Lesruimte)</v>
      </c>
      <c r="Q265" s="201"/>
      <c r="R265" s="202">
        <v>42</v>
      </c>
      <c r="S265" s="202" t="s">
        <v>2</v>
      </c>
      <c r="T265" s="202">
        <f>IF(R265&gt;0,IF(RIGHT(Ruimtestaat[[#This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65" s="202">
        <f>IF(T265&gt;0,VLOOKUP($J265,Ruimtegroepen[],3,FALSE)*VLOOKUP($L265,Vloersoorten[],3,FALSE)*VLOOKUP($S265,Frequenties[],3,FALSE)*VLOOKUP($A265,Locaties[],3,FALSE),0)</f>
        <v>0</v>
      </c>
      <c r="V265" s="202">
        <f>Ruimtestaat[[#This Row],[Uitvoeringen werkdagen]]*Ruimtestaat[[#This Row],[Oppervlak (netto)]]</f>
        <v>11340</v>
      </c>
      <c r="W265" s="242">
        <f>IF(U265&gt;0,Ruimtestaat[[#This Row],[Prest. (m2 /jaar) werkdagen]]/Ruimtestaat[[#This Row],[Norm (m2/uur) werkdagen]],0)</f>
        <v>0</v>
      </c>
      <c r="X265" s="243">
        <f>Ruimtestaat[[#This Row],[uren / jaar werkdagen]]*Tariefsopbouw!$D$38</f>
        <v>0</v>
      </c>
      <c r="Y265" s="33"/>
      <c r="Z265" s="33">
        <f>IF(Ruimtestaat[[#This Row],[Frequentie weekend]]&gt;0,VALUE(LEFT(Y265,1))*R265,0)</f>
        <v>0</v>
      </c>
      <c r="AA265" s="33">
        <f>IF($Z265&gt;0,VLOOKUP($J265,Ruimtegroepen[],3,FALSE)*VLOOKUP($L265,Vloersoorten[],3,FALSE)*VLOOKUP($Y265,Frequenties[],3,FALSE)*VLOOKUP(#REF!,Locaties[],3,FALSE),0)</f>
        <v>0</v>
      </c>
      <c r="AB265" s="33"/>
      <c r="AC265" s="33"/>
      <c r="AD265" s="33">
        <f>Ruimtestaat[[#This Row],[uren / jaar weekend]]*Tariefsopbouw!$D$40</f>
        <v>0</v>
      </c>
      <c r="AE265" s="86">
        <f>Ruimtestaat[[#This Row],[Prest. (m2 /jaar) weekend]]+Ruimtestaat[[#This Row],[Prest. (m2 /jaar) werkdagen]]</f>
        <v>11340</v>
      </c>
      <c r="AF265" s="86">
        <f>Ruimtestaat[[#This Row],[uren / jaar weekend]]+Ruimtestaat[[#This Row],[uren / jaar werkdagen]]</f>
        <v>0</v>
      </c>
      <c r="AG265" s="87">
        <f>Ruimtestaat[[#This Row],[kosten / jaar weekend]]+Ruimtestaat[[#This Row],[kosten / jaar werkdagen]]</f>
        <v>0</v>
      </c>
    </row>
    <row r="266" spans="1:33" ht="15" customHeight="1">
      <c r="A266" s="187">
        <v>4</v>
      </c>
      <c r="B266" s="21" t="str">
        <f>VLOOKUP(Ruimtestaat[[#This Row],[Code]],Locaties[#All],2,FALSE)</f>
        <v xml:space="preserve">Lyceumstraat </v>
      </c>
      <c r="C266" s="247" t="str">
        <f>VLOOKUP(Ruimtestaat[[#This Row],[Code]],Locaties[#All],4,FALSE)</f>
        <v>Lyceumstraat 36</v>
      </c>
      <c r="D266" s="247" t="str">
        <f>VLOOKUP(Ruimtestaat[[#This Row],[Code]],Locaties[#All],5,FALSE)</f>
        <v>7572 CR</v>
      </c>
      <c r="E266" s="187" t="str">
        <f>VLOOKUP(Ruimtestaat[[#This Row],[Code]],Locaties[#All],6,FALSE)</f>
        <v>Oldenzaal</v>
      </c>
      <c r="F266" s="248"/>
      <c r="G266" s="246" t="s">
        <v>679</v>
      </c>
      <c r="H266" s="246" t="s">
        <v>921</v>
      </c>
      <c r="I266" s="248" t="s">
        <v>590</v>
      </c>
      <c r="J266" s="187">
        <v>2</v>
      </c>
      <c r="K266" s="187" t="str">
        <f>VLOOKUP(Ruimtestaat[[#This Row],[Ruimte code]],Ruimtegroepen[#All],2,FALSE)</f>
        <v>Kantoren/kantoortuin</v>
      </c>
      <c r="L266" s="247" t="s">
        <v>1204</v>
      </c>
      <c r="M266" s="246" t="s">
        <v>1205</v>
      </c>
      <c r="N266" s="200">
        <v>23</v>
      </c>
      <c r="O266" s="200"/>
      <c r="P266" s="231" t="str">
        <f>VLOOKUP(Ruimtestaat[[#This Row],[Ruimte code]],Ruimtegroepen[#All],4,FALSE)</f>
        <v>B  (Bureauruimte)</v>
      </c>
      <c r="Q266" s="201"/>
      <c r="R266" s="202">
        <v>42</v>
      </c>
      <c r="S266" s="202" t="s">
        <v>2</v>
      </c>
      <c r="T266" s="202">
        <f>IF(R266&gt;0,IF(RIGHT(Ruimtestaat[[#This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66" s="202">
        <f>IF(T266&gt;0,VLOOKUP($J266,Ruimtegroepen[],3,FALSE)*VLOOKUP($L266,Vloersoorten[],3,FALSE)*VLOOKUP($S266,Frequenties[],3,FALSE)*VLOOKUP($A266,Locaties[],3,FALSE),0)</f>
        <v>0</v>
      </c>
      <c r="V266" s="202">
        <f>Ruimtestaat[[#This Row],[Uitvoeringen werkdagen]]*Ruimtestaat[[#This Row],[Oppervlak (netto)]]</f>
        <v>4830</v>
      </c>
      <c r="W266" s="242">
        <f>IF(U266&gt;0,Ruimtestaat[[#This Row],[Prest. (m2 /jaar) werkdagen]]/Ruimtestaat[[#This Row],[Norm (m2/uur) werkdagen]],0)</f>
        <v>0</v>
      </c>
      <c r="X266" s="243">
        <f>Ruimtestaat[[#This Row],[uren / jaar werkdagen]]*Tariefsopbouw!$D$38</f>
        <v>0</v>
      </c>
      <c r="Y266" s="33"/>
      <c r="Z266" s="33">
        <f>IF(Ruimtestaat[[#This Row],[Frequentie weekend]]&gt;0,VALUE(LEFT(Y266,1))*R266,0)</f>
        <v>0</v>
      </c>
      <c r="AA266" s="33">
        <f>IF($Z266&gt;0,VLOOKUP($J266,Ruimtegroepen[],3,FALSE)*VLOOKUP($L266,Vloersoorten[],3,FALSE)*VLOOKUP($Y266,Frequenties[],3,FALSE)*VLOOKUP(#REF!,Locaties[],3,FALSE),0)</f>
        <v>0</v>
      </c>
      <c r="AB266" s="33"/>
      <c r="AC266" s="33"/>
      <c r="AD266" s="33">
        <f>Ruimtestaat[[#This Row],[uren / jaar weekend]]*Tariefsopbouw!$D$40</f>
        <v>0</v>
      </c>
      <c r="AE266" s="86">
        <f>Ruimtestaat[[#This Row],[Prest. (m2 /jaar) weekend]]+Ruimtestaat[[#This Row],[Prest. (m2 /jaar) werkdagen]]</f>
        <v>4830</v>
      </c>
      <c r="AF266" s="86">
        <f>Ruimtestaat[[#This Row],[uren / jaar weekend]]+Ruimtestaat[[#This Row],[uren / jaar werkdagen]]</f>
        <v>0</v>
      </c>
      <c r="AG266" s="87">
        <f>Ruimtestaat[[#This Row],[kosten / jaar weekend]]+Ruimtestaat[[#This Row],[kosten / jaar werkdagen]]</f>
        <v>0</v>
      </c>
    </row>
    <row r="267" spans="1:33" ht="15" customHeight="1">
      <c r="A267" s="187">
        <v>4</v>
      </c>
      <c r="B267" s="21" t="str">
        <f>VLOOKUP(Ruimtestaat[[#This Row],[Code]],Locaties[#All],2,FALSE)</f>
        <v xml:space="preserve">Lyceumstraat </v>
      </c>
      <c r="C267" s="247" t="str">
        <f>VLOOKUP(Ruimtestaat[[#This Row],[Code]],Locaties[#All],4,FALSE)</f>
        <v>Lyceumstraat 36</v>
      </c>
      <c r="D267" s="247" t="str">
        <f>VLOOKUP(Ruimtestaat[[#This Row],[Code]],Locaties[#All],5,FALSE)</f>
        <v>7572 CR</v>
      </c>
      <c r="E267" s="187" t="str">
        <f>VLOOKUP(Ruimtestaat[[#This Row],[Code]],Locaties[#All],6,FALSE)</f>
        <v>Oldenzaal</v>
      </c>
      <c r="F267" s="248"/>
      <c r="G267" s="246" t="s">
        <v>679</v>
      </c>
      <c r="H267" s="246" t="s">
        <v>922</v>
      </c>
      <c r="I267" s="248" t="s">
        <v>465</v>
      </c>
      <c r="J267" s="187">
        <v>16</v>
      </c>
      <c r="K267" s="187" t="str">
        <f>VLOOKUP(Ruimtestaat[[#This Row],[Ruimte code]],Ruimtegroepen[#All],2,FALSE)</f>
        <v>Leslokalen/computerlokaal</v>
      </c>
      <c r="L267" s="247" t="s">
        <v>677</v>
      </c>
      <c r="M267" s="246" t="s">
        <v>1200</v>
      </c>
      <c r="N267" s="200">
        <v>57</v>
      </c>
      <c r="O267" s="200"/>
      <c r="P267" s="231" t="str">
        <f>VLOOKUP(Ruimtestaat[[#This Row],[Ruimte code]],Ruimtegroepen[#All],4,FALSE)</f>
        <v>L  (Lesruimte)</v>
      </c>
      <c r="Q267" s="201"/>
      <c r="R267" s="202">
        <v>42</v>
      </c>
      <c r="S267" s="202" t="s">
        <v>2</v>
      </c>
      <c r="T267" s="202">
        <f>IF(R267&gt;0,IF(RIGHT(Ruimtestaat[[#This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67" s="202">
        <f>IF(T267&gt;0,VLOOKUP($J267,Ruimtegroepen[],3,FALSE)*VLOOKUP($L267,Vloersoorten[],3,FALSE)*VLOOKUP($S267,Frequenties[],3,FALSE)*VLOOKUP($A267,Locaties[],3,FALSE),0)</f>
        <v>0</v>
      </c>
      <c r="V267" s="202">
        <f>Ruimtestaat[[#This Row],[Uitvoeringen werkdagen]]*Ruimtestaat[[#This Row],[Oppervlak (netto)]]</f>
        <v>11970</v>
      </c>
      <c r="W267" s="242">
        <f>IF(U267&gt;0,Ruimtestaat[[#This Row],[Prest. (m2 /jaar) werkdagen]]/Ruimtestaat[[#This Row],[Norm (m2/uur) werkdagen]],0)</f>
        <v>0</v>
      </c>
      <c r="X267" s="243">
        <f>Ruimtestaat[[#This Row],[uren / jaar werkdagen]]*Tariefsopbouw!$D$38</f>
        <v>0</v>
      </c>
      <c r="Y267" s="33"/>
      <c r="Z267" s="33">
        <f>IF(Ruimtestaat[[#This Row],[Frequentie weekend]]&gt;0,VALUE(LEFT(Y267,1))*R267,0)</f>
        <v>0</v>
      </c>
      <c r="AA267" s="33">
        <f>IF($Z267&gt;0,VLOOKUP($J267,Ruimtegroepen[],3,FALSE)*VLOOKUP($L267,Vloersoorten[],3,FALSE)*VLOOKUP($Y267,Frequenties[],3,FALSE)*VLOOKUP(#REF!,Locaties[],3,FALSE),0)</f>
        <v>0</v>
      </c>
      <c r="AB267" s="33"/>
      <c r="AC267" s="33"/>
      <c r="AD267" s="33">
        <f>Ruimtestaat[[#This Row],[uren / jaar weekend]]*Tariefsopbouw!$D$40</f>
        <v>0</v>
      </c>
      <c r="AE267" s="86">
        <f>Ruimtestaat[[#This Row],[Prest. (m2 /jaar) weekend]]+Ruimtestaat[[#This Row],[Prest. (m2 /jaar) werkdagen]]</f>
        <v>11970</v>
      </c>
      <c r="AF267" s="86">
        <f>Ruimtestaat[[#This Row],[uren / jaar weekend]]+Ruimtestaat[[#This Row],[uren / jaar werkdagen]]</f>
        <v>0</v>
      </c>
      <c r="AG267" s="87">
        <f>Ruimtestaat[[#This Row],[kosten / jaar weekend]]+Ruimtestaat[[#This Row],[kosten / jaar werkdagen]]</f>
        <v>0</v>
      </c>
    </row>
    <row r="268" spans="1:33" ht="15" customHeight="1">
      <c r="A268" s="187">
        <v>4</v>
      </c>
      <c r="B268" s="21" t="str">
        <f>VLOOKUP(Ruimtestaat[[#This Row],[Code]],Locaties[#All],2,FALSE)</f>
        <v xml:space="preserve">Lyceumstraat </v>
      </c>
      <c r="C268" s="247" t="str">
        <f>VLOOKUP(Ruimtestaat[[#This Row],[Code]],Locaties[#All],4,FALSE)</f>
        <v>Lyceumstraat 36</v>
      </c>
      <c r="D268" s="247" t="str">
        <f>VLOOKUP(Ruimtestaat[[#This Row],[Code]],Locaties[#All],5,FALSE)</f>
        <v>7572 CR</v>
      </c>
      <c r="E268" s="187" t="str">
        <f>VLOOKUP(Ruimtestaat[[#This Row],[Code]],Locaties[#All],6,FALSE)</f>
        <v>Oldenzaal</v>
      </c>
      <c r="F268" s="248"/>
      <c r="G268" s="246" t="s">
        <v>679</v>
      </c>
      <c r="H268" s="246" t="s">
        <v>923</v>
      </c>
      <c r="I268" s="248" t="s">
        <v>590</v>
      </c>
      <c r="J268" s="187">
        <v>2</v>
      </c>
      <c r="K268" s="187" t="str">
        <f>VLOOKUP(Ruimtestaat[[#This Row],[Ruimte code]],Ruimtegroepen[#All],2,FALSE)</f>
        <v>Kantoren/kantoortuin</v>
      </c>
      <c r="L268" s="247" t="s">
        <v>1204</v>
      </c>
      <c r="M268" s="246" t="s">
        <v>1205</v>
      </c>
      <c r="N268" s="200">
        <v>26</v>
      </c>
      <c r="O268" s="200"/>
      <c r="P268" s="231" t="str">
        <f>VLOOKUP(Ruimtestaat[[#This Row],[Ruimte code]],Ruimtegroepen[#All],4,FALSE)</f>
        <v>B  (Bureauruimte)</v>
      </c>
      <c r="Q268" s="201"/>
      <c r="R268" s="202">
        <v>42</v>
      </c>
      <c r="S268" s="202" t="s">
        <v>2</v>
      </c>
      <c r="T268" s="202">
        <f>IF(R268&gt;0,IF(RIGHT(Ruimtestaat[[#This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68" s="202">
        <f>IF(T268&gt;0,VLOOKUP($J268,Ruimtegroepen[],3,FALSE)*VLOOKUP($L268,Vloersoorten[],3,FALSE)*VLOOKUP($S268,Frequenties[],3,FALSE)*VLOOKUP($A268,Locaties[],3,FALSE),0)</f>
        <v>0</v>
      </c>
      <c r="V268" s="202">
        <f>Ruimtestaat[[#This Row],[Uitvoeringen werkdagen]]*Ruimtestaat[[#This Row],[Oppervlak (netto)]]</f>
        <v>5460</v>
      </c>
      <c r="W268" s="242">
        <f>IF(U268&gt;0,Ruimtestaat[[#This Row],[Prest. (m2 /jaar) werkdagen]]/Ruimtestaat[[#This Row],[Norm (m2/uur) werkdagen]],0)</f>
        <v>0</v>
      </c>
      <c r="X268" s="243">
        <f>Ruimtestaat[[#This Row],[uren / jaar werkdagen]]*Tariefsopbouw!$D$38</f>
        <v>0</v>
      </c>
      <c r="Y268" s="33"/>
      <c r="Z268" s="33">
        <f>IF(Ruimtestaat[[#This Row],[Frequentie weekend]]&gt;0,VALUE(LEFT(Y268,1))*R268,0)</f>
        <v>0</v>
      </c>
      <c r="AA268" s="33">
        <f>IF($Z268&gt;0,VLOOKUP($J268,Ruimtegroepen[],3,FALSE)*VLOOKUP($L268,Vloersoorten[],3,FALSE)*VLOOKUP($Y268,Frequenties[],3,FALSE)*VLOOKUP(#REF!,Locaties[],3,FALSE),0)</f>
        <v>0</v>
      </c>
      <c r="AB268" s="33"/>
      <c r="AC268" s="33"/>
      <c r="AD268" s="33">
        <f>Ruimtestaat[[#This Row],[uren / jaar weekend]]*Tariefsopbouw!$D$40</f>
        <v>0</v>
      </c>
      <c r="AE268" s="86">
        <f>Ruimtestaat[[#This Row],[Prest. (m2 /jaar) weekend]]+Ruimtestaat[[#This Row],[Prest. (m2 /jaar) werkdagen]]</f>
        <v>5460</v>
      </c>
      <c r="AF268" s="86">
        <f>Ruimtestaat[[#This Row],[uren / jaar weekend]]+Ruimtestaat[[#This Row],[uren / jaar werkdagen]]</f>
        <v>0</v>
      </c>
      <c r="AG268" s="87">
        <f>Ruimtestaat[[#This Row],[kosten / jaar weekend]]+Ruimtestaat[[#This Row],[kosten / jaar werkdagen]]</f>
        <v>0</v>
      </c>
    </row>
    <row r="269" spans="1:33" ht="15" customHeight="1">
      <c r="A269" s="187">
        <v>4</v>
      </c>
      <c r="B269" s="21" t="str">
        <f>VLOOKUP(Ruimtestaat[[#This Row],[Code]],Locaties[#All],2,FALSE)</f>
        <v xml:space="preserve">Lyceumstraat </v>
      </c>
      <c r="C269" s="247" t="str">
        <f>VLOOKUP(Ruimtestaat[[#This Row],[Code]],Locaties[#All],4,FALSE)</f>
        <v>Lyceumstraat 36</v>
      </c>
      <c r="D269" s="247" t="str">
        <f>VLOOKUP(Ruimtestaat[[#This Row],[Code]],Locaties[#All],5,FALSE)</f>
        <v>7572 CR</v>
      </c>
      <c r="E269" s="187" t="str">
        <f>VLOOKUP(Ruimtestaat[[#This Row],[Code]],Locaties[#All],6,FALSE)</f>
        <v>Oldenzaal</v>
      </c>
      <c r="F269" s="248"/>
      <c r="G269" s="246" t="s">
        <v>679</v>
      </c>
      <c r="H269" s="246" t="s">
        <v>924</v>
      </c>
      <c r="I269" s="248" t="s">
        <v>590</v>
      </c>
      <c r="J269" s="187">
        <v>2</v>
      </c>
      <c r="K269" s="187" t="str">
        <f>VLOOKUP(Ruimtestaat[[#This Row],[Ruimte code]],Ruimtegroepen[#All],2,FALSE)</f>
        <v>Kantoren/kantoortuin</v>
      </c>
      <c r="L269" s="247" t="s">
        <v>1204</v>
      </c>
      <c r="M269" s="246" t="s">
        <v>1205</v>
      </c>
      <c r="N269" s="200">
        <v>21</v>
      </c>
      <c r="O269" s="200"/>
      <c r="P269" s="231" t="str">
        <f>VLOOKUP(Ruimtestaat[[#This Row],[Ruimte code]],Ruimtegroepen[#All],4,FALSE)</f>
        <v>B  (Bureauruimte)</v>
      </c>
      <c r="Q269" s="201"/>
      <c r="R269" s="202">
        <v>42</v>
      </c>
      <c r="S269" s="202" t="s">
        <v>2</v>
      </c>
      <c r="T269" s="202">
        <f>IF(R269&gt;0,IF(RIGHT(Ruimtestaat[[#This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69" s="202">
        <f>IF(T269&gt;0,VLOOKUP($J269,Ruimtegroepen[],3,FALSE)*VLOOKUP($L269,Vloersoorten[],3,FALSE)*VLOOKUP($S269,Frequenties[],3,FALSE)*VLOOKUP($A269,Locaties[],3,FALSE),0)</f>
        <v>0</v>
      </c>
      <c r="V269" s="202">
        <f>Ruimtestaat[[#This Row],[Uitvoeringen werkdagen]]*Ruimtestaat[[#This Row],[Oppervlak (netto)]]</f>
        <v>4410</v>
      </c>
      <c r="W269" s="242">
        <f>IF(U269&gt;0,Ruimtestaat[[#This Row],[Prest. (m2 /jaar) werkdagen]]/Ruimtestaat[[#This Row],[Norm (m2/uur) werkdagen]],0)</f>
        <v>0</v>
      </c>
      <c r="X269" s="243">
        <f>Ruimtestaat[[#This Row],[uren / jaar werkdagen]]*Tariefsopbouw!$D$38</f>
        <v>0</v>
      </c>
      <c r="Y269" s="33"/>
      <c r="Z269" s="33">
        <f>IF(Ruimtestaat[[#This Row],[Frequentie weekend]]&gt;0,VALUE(LEFT(Y269,1))*R269,0)</f>
        <v>0</v>
      </c>
      <c r="AA269" s="33">
        <f>IF($Z269&gt;0,VLOOKUP($J269,Ruimtegroepen[],3,FALSE)*VLOOKUP($L269,Vloersoorten[],3,FALSE)*VLOOKUP($Y269,Frequenties[],3,FALSE)*VLOOKUP(#REF!,Locaties[],3,FALSE),0)</f>
        <v>0</v>
      </c>
      <c r="AB269" s="33"/>
      <c r="AC269" s="33"/>
      <c r="AD269" s="33">
        <f>Ruimtestaat[[#This Row],[uren / jaar weekend]]*Tariefsopbouw!$D$40</f>
        <v>0</v>
      </c>
      <c r="AE269" s="86">
        <f>Ruimtestaat[[#This Row],[Prest. (m2 /jaar) weekend]]+Ruimtestaat[[#This Row],[Prest. (m2 /jaar) werkdagen]]</f>
        <v>4410</v>
      </c>
      <c r="AF269" s="86">
        <f>Ruimtestaat[[#This Row],[uren / jaar weekend]]+Ruimtestaat[[#This Row],[uren / jaar werkdagen]]</f>
        <v>0</v>
      </c>
      <c r="AG269" s="87">
        <f>Ruimtestaat[[#This Row],[kosten / jaar weekend]]+Ruimtestaat[[#This Row],[kosten / jaar werkdagen]]</f>
        <v>0</v>
      </c>
    </row>
    <row r="270" spans="1:33" ht="15" customHeight="1">
      <c r="A270" s="187">
        <v>4</v>
      </c>
      <c r="B270" s="21" t="str">
        <f>VLOOKUP(Ruimtestaat[[#This Row],[Code]],Locaties[#All],2,FALSE)</f>
        <v xml:space="preserve">Lyceumstraat </v>
      </c>
      <c r="C270" s="247" t="str">
        <f>VLOOKUP(Ruimtestaat[[#This Row],[Code]],Locaties[#All],4,FALSE)</f>
        <v>Lyceumstraat 36</v>
      </c>
      <c r="D270" s="247" t="str">
        <f>VLOOKUP(Ruimtestaat[[#This Row],[Code]],Locaties[#All],5,FALSE)</f>
        <v>7572 CR</v>
      </c>
      <c r="E270" s="187" t="str">
        <f>VLOOKUP(Ruimtestaat[[#This Row],[Code]],Locaties[#All],6,FALSE)</f>
        <v>Oldenzaal</v>
      </c>
      <c r="F270" s="248"/>
      <c r="G270" s="246" t="s">
        <v>679</v>
      </c>
      <c r="H270" s="246" t="s">
        <v>925</v>
      </c>
      <c r="I270" s="248" t="s">
        <v>926</v>
      </c>
      <c r="J270" s="247">
        <v>9</v>
      </c>
      <c r="K270" s="247" t="str">
        <f>VLOOKUP(Ruimtestaat[[#This Row],[Ruimte code]],Ruimtegroepen[#All],2,FALSE)</f>
        <v>Bibliotheek / OLC</v>
      </c>
      <c r="L270" s="247" t="s">
        <v>1204</v>
      </c>
      <c r="M270" s="246" t="s">
        <v>1205</v>
      </c>
      <c r="N270" s="200">
        <v>340</v>
      </c>
      <c r="O270" s="200"/>
      <c r="P270" s="231" t="str">
        <f>VLOOKUP(Ruimtestaat[[#This Row],[Ruimte code]],Ruimtegroepen[#All],4,FALSE)</f>
        <v>L  (Lesruimte)</v>
      </c>
      <c r="Q270" s="201"/>
      <c r="R270" s="202">
        <v>42</v>
      </c>
      <c r="S270" s="202" t="s">
        <v>2</v>
      </c>
      <c r="T270" s="202">
        <f>IF(R270&gt;0,IF(RIGHT(Ruimtestaat[[#This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70" s="202">
        <f>IF(T270&gt;0,VLOOKUP($J270,Ruimtegroepen[],3,FALSE)*VLOOKUP($L270,Vloersoorten[],3,FALSE)*VLOOKUP($S270,Frequenties[],3,FALSE)*VLOOKUP($A270,Locaties[],3,FALSE),0)</f>
        <v>0</v>
      </c>
      <c r="V270" s="202">
        <f>Ruimtestaat[[#This Row],[Uitvoeringen werkdagen]]*Ruimtestaat[[#This Row],[Oppervlak (netto)]]</f>
        <v>71400</v>
      </c>
      <c r="W270" s="242">
        <f>IF(U270&gt;0,Ruimtestaat[[#This Row],[Prest. (m2 /jaar) werkdagen]]/Ruimtestaat[[#This Row],[Norm (m2/uur) werkdagen]],0)</f>
        <v>0</v>
      </c>
      <c r="X270" s="243">
        <f>Ruimtestaat[[#This Row],[uren / jaar werkdagen]]*Tariefsopbouw!$D$38</f>
        <v>0</v>
      </c>
      <c r="Y270" s="33"/>
      <c r="Z270" s="33">
        <f>IF(Ruimtestaat[[#This Row],[Frequentie weekend]]&gt;0,VALUE(LEFT(Y270,1))*R270,0)</f>
        <v>0</v>
      </c>
      <c r="AA270" s="33">
        <f>IF($Z270&gt;0,VLOOKUP($J270,Ruimtegroepen[],3,FALSE)*VLOOKUP($L270,Vloersoorten[],3,FALSE)*VLOOKUP($Y270,Frequenties[],3,FALSE)*VLOOKUP(#REF!,Locaties[],3,FALSE),0)</f>
        <v>0</v>
      </c>
      <c r="AB270" s="33"/>
      <c r="AC270" s="33"/>
      <c r="AD270" s="33">
        <f>Ruimtestaat[[#This Row],[uren / jaar weekend]]*Tariefsopbouw!$D$40</f>
        <v>0</v>
      </c>
      <c r="AE270" s="86">
        <f>Ruimtestaat[[#This Row],[Prest. (m2 /jaar) weekend]]+Ruimtestaat[[#This Row],[Prest. (m2 /jaar) werkdagen]]</f>
        <v>71400</v>
      </c>
      <c r="AF270" s="86">
        <f>Ruimtestaat[[#This Row],[uren / jaar weekend]]+Ruimtestaat[[#This Row],[uren / jaar werkdagen]]</f>
        <v>0</v>
      </c>
      <c r="AG270" s="87">
        <f>Ruimtestaat[[#This Row],[kosten / jaar weekend]]+Ruimtestaat[[#This Row],[kosten / jaar werkdagen]]</f>
        <v>0</v>
      </c>
    </row>
    <row r="271" spans="1:33" ht="15" customHeight="1">
      <c r="A271" s="187">
        <v>4</v>
      </c>
      <c r="B271" s="21" t="str">
        <f>VLOOKUP(Ruimtestaat[[#This Row],[Code]],Locaties[#All],2,FALSE)</f>
        <v xml:space="preserve">Lyceumstraat </v>
      </c>
      <c r="C271" s="247" t="str">
        <f>VLOOKUP(Ruimtestaat[[#This Row],[Code]],Locaties[#All],4,FALSE)</f>
        <v>Lyceumstraat 36</v>
      </c>
      <c r="D271" s="247" t="str">
        <f>VLOOKUP(Ruimtestaat[[#This Row],[Code]],Locaties[#All],5,FALSE)</f>
        <v>7572 CR</v>
      </c>
      <c r="E271" s="187" t="str">
        <f>VLOOKUP(Ruimtestaat[[#This Row],[Code]],Locaties[#All],6,FALSE)</f>
        <v>Oldenzaal</v>
      </c>
      <c r="F271" s="248"/>
      <c r="G271" s="246" t="s">
        <v>679</v>
      </c>
      <c r="H271" s="246" t="s">
        <v>927</v>
      </c>
      <c r="I271" s="248" t="s">
        <v>928</v>
      </c>
      <c r="J271" s="187">
        <v>2</v>
      </c>
      <c r="K271" s="187" t="str">
        <f>VLOOKUP(Ruimtestaat[[#This Row],[Ruimte code]],Ruimtegroepen[#All],2,FALSE)</f>
        <v>Kantoren/kantoortuin</v>
      </c>
      <c r="L271" s="247" t="s">
        <v>1204</v>
      </c>
      <c r="M271" s="246" t="s">
        <v>1205</v>
      </c>
      <c r="N271" s="200">
        <v>36</v>
      </c>
      <c r="O271" s="200"/>
      <c r="P271" s="231" t="str">
        <f>VLOOKUP(Ruimtestaat[[#This Row],[Ruimte code]],Ruimtegroepen[#All],4,FALSE)</f>
        <v>B  (Bureauruimte)</v>
      </c>
      <c r="Q271" s="201"/>
      <c r="R271" s="202">
        <v>42</v>
      </c>
      <c r="S271" s="202" t="s">
        <v>2</v>
      </c>
      <c r="T271" s="202">
        <f>IF(R271&gt;0,IF(RIGHT(Ruimtestaat[[#This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71" s="202">
        <f>IF(T271&gt;0,VLOOKUP($J271,Ruimtegroepen[],3,FALSE)*VLOOKUP($L271,Vloersoorten[],3,FALSE)*VLOOKUP($S271,Frequenties[],3,FALSE)*VLOOKUP($A271,Locaties[],3,FALSE),0)</f>
        <v>0</v>
      </c>
      <c r="V271" s="202">
        <f>Ruimtestaat[[#This Row],[Uitvoeringen werkdagen]]*Ruimtestaat[[#This Row],[Oppervlak (netto)]]</f>
        <v>7560</v>
      </c>
      <c r="W271" s="242">
        <f>IF(U271&gt;0,Ruimtestaat[[#This Row],[Prest. (m2 /jaar) werkdagen]]/Ruimtestaat[[#This Row],[Norm (m2/uur) werkdagen]],0)</f>
        <v>0</v>
      </c>
      <c r="X271" s="243">
        <f>Ruimtestaat[[#This Row],[uren / jaar werkdagen]]*Tariefsopbouw!$D$38</f>
        <v>0</v>
      </c>
      <c r="Y271" s="33"/>
      <c r="Z271" s="33">
        <f>IF(Ruimtestaat[[#This Row],[Frequentie weekend]]&gt;0,VALUE(LEFT(Y271,1))*R271,0)</f>
        <v>0</v>
      </c>
      <c r="AA271" s="33">
        <f>IF($Z271&gt;0,VLOOKUP($J271,Ruimtegroepen[],3,FALSE)*VLOOKUP($L271,Vloersoorten[],3,FALSE)*VLOOKUP($Y271,Frequenties[],3,FALSE)*VLOOKUP(#REF!,Locaties[],3,FALSE),0)</f>
        <v>0</v>
      </c>
      <c r="AB271" s="33"/>
      <c r="AC271" s="33"/>
      <c r="AD271" s="33">
        <f>Ruimtestaat[[#This Row],[uren / jaar weekend]]*Tariefsopbouw!$D$40</f>
        <v>0</v>
      </c>
      <c r="AE271" s="86">
        <f>Ruimtestaat[[#This Row],[Prest. (m2 /jaar) weekend]]+Ruimtestaat[[#This Row],[Prest. (m2 /jaar) werkdagen]]</f>
        <v>7560</v>
      </c>
      <c r="AF271" s="86">
        <f>Ruimtestaat[[#This Row],[uren / jaar weekend]]+Ruimtestaat[[#This Row],[uren / jaar werkdagen]]</f>
        <v>0</v>
      </c>
      <c r="AG271" s="87">
        <f>Ruimtestaat[[#This Row],[kosten / jaar weekend]]+Ruimtestaat[[#This Row],[kosten / jaar werkdagen]]</f>
        <v>0</v>
      </c>
    </row>
    <row r="272" spans="1:33" ht="15" customHeight="1">
      <c r="A272" s="187">
        <v>4</v>
      </c>
      <c r="B272" s="21" t="str">
        <f>VLOOKUP(Ruimtestaat[[#This Row],[Code]],Locaties[#All],2,FALSE)</f>
        <v xml:space="preserve">Lyceumstraat </v>
      </c>
      <c r="C272" s="247" t="str">
        <f>VLOOKUP(Ruimtestaat[[#This Row],[Code]],Locaties[#All],4,FALSE)</f>
        <v>Lyceumstraat 36</v>
      </c>
      <c r="D272" s="247" t="str">
        <f>VLOOKUP(Ruimtestaat[[#This Row],[Code]],Locaties[#All],5,FALSE)</f>
        <v>7572 CR</v>
      </c>
      <c r="E272" s="187" t="str">
        <f>VLOOKUP(Ruimtestaat[[#This Row],[Code]],Locaties[#All],6,FALSE)</f>
        <v>Oldenzaal</v>
      </c>
      <c r="F272" s="248"/>
      <c r="G272" s="246" t="s">
        <v>679</v>
      </c>
      <c r="H272" s="246" t="s">
        <v>929</v>
      </c>
      <c r="I272" s="248" t="s">
        <v>917</v>
      </c>
      <c r="J272" s="187">
        <v>2</v>
      </c>
      <c r="K272" s="187" t="str">
        <f>VLOOKUP(Ruimtestaat[[#This Row],[Ruimte code]],Ruimtegroepen[#All],2,FALSE)</f>
        <v>Kantoren/kantoortuin</v>
      </c>
      <c r="L272" s="247" t="s">
        <v>1204</v>
      </c>
      <c r="M272" s="246" t="s">
        <v>1205</v>
      </c>
      <c r="N272" s="200">
        <v>13</v>
      </c>
      <c r="O272" s="200"/>
      <c r="P272" s="231" t="str">
        <f>VLOOKUP(Ruimtestaat[[#This Row],[Ruimte code]],Ruimtegroepen[#All],4,FALSE)</f>
        <v>B  (Bureauruimte)</v>
      </c>
      <c r="Q272" s="201"/>
      <c r="R272" s="202">
        <v>42</v>
      </c>
      <c r="S272" s="202" t="s">
        <v>2</v>
      </c>
      <c r="T272" s="202">
        <f>IF(R272&gt;0,IF(RIGHT(Ruimtestaat[[#This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72" s="202">
        <f>IF(T272&gt;0,VLOOKUP($J272,Ruimtegroepen[],3,FALSE)*VLOOKUP($L272,Vloersoorten[],3,FALSE)*VLOOKUP($S272,Frequenties[],3,FALSE)*VLOOKUP($A272,Locaties[],3,FALSE),0)</f>
        <v>0</v>
      </c>
      <c r="V272" s="202">
        <f>Ruimtestaat[[#This Row],[Uitvoeringen werkdagen]]*Ruimtestaat[[#This Row],[Oppervlak (netto)]]</f>
        <v>2730</v>
      </c>
      <c r="W272" s="242">
        <f>IF(U272&gt;0,Ruimtestaat[[#This Row],[Prest. (m2 /jaar) werkdagen]]/Ruimtestaat[[#This Row],[Norm (m2/uur) werkdagen]],0)</f>
        <v>0</v>
      </c>
      <c r="X272" s="243">
        <f>Ruimtestaat[[#This Row],[uren / jaar werkdagen]]*Tariefsopbouw!$D$38</f>
        <v>0</v>
      </c>
      <c r="Y272" s="33"/>
      <c r="Z272" s="33">
        <f>IF(Ruimtestaat[[#This Row],[Frequentie weekend]]&gt;0,VALUE(LEFT(Y272,1))*R272,0)</f>
        <v>0</v>
      </c>
      <c r="AA272" s="33">
        <f>IF($Z272&gt;0,VLOOKUP($J272,Ruimtegroepen[],3,FALSE)*VLOOKUP($L272,Vloersoorten[],3,FALSE)*VLOOKUP($Y272,Frequenties[],3,FALSE)*VLOOKUP(#REF!,Locaties[],3,FALSE),0)</f>
        <v>0</v>
      </c>
      <c r="AB272" s="33"/>
      <c r="AC272" s="33"/>
      <c r="AD272" s="33">
        <f>Ruimtestaat[[#This Row],[uren / jaar weekend]]*Tariefsopbouw!$D$40</f>
        <v>0</v>
      </c>
      <c r="AE272" s="86">
        <f>Ruimtestaat[[#This Row],[Prest. (m2 /jaar) weekend]]+Ruimtestaat[[#This Row],[Prest. (m2 /jaar) werkdagen]]</f>
        <v>2730</v>
      </c>
      <c r="AF272" s="86">
        <f>Ruimtestaat[[#This Row],[uren / jaar weekend]]+Ruimtestaat[[#This Row],[uren / jaar werkdagen]]</f>
        <v>0</v>
      </c>
      <c r="AG272" s="87">
        <f>Ruimtestaat[[#This Row],[kosten / jaar weekend]]+Ruimtestaat[[#This Row],[kosten / jaar werkdagen]]</f>
        <v>0</v>
      </c>
    </row>
    <row r="273" spans="1:33" ht="15" customHeight="1">
      <c r="A273" s="187">
        <v>4</v>
      </c>
      <c r="B273" s="21" t="str">
        <f>VLOOKUP(Ruimtestaat[[#This Row],[Code]],Locaties[#All],2,FALSE)</f>
        <v xml:space="preserve">Lyceumstraat </v>
      </c>
      <c r="C273" s="247" t="str">
        <f>VLOOKUP(Ruimtestaat[[#This Row],[Code]],Locaties[#All],4,FALSE)</f>
        <v>Lyceumstraat 36</v>
      </c>
      <c r="D273" s="247" t="str">
        <f>VLOOKUP(Ruimtestaat[[#This Row],[Code]],Locaties[#All],5,FALSE)</f>
        <v>7572 CR</v>
      </c>
      <c r="E273" s="187" t="str">
        <f>VLOOKUP(Ruimtestaat[[#This Row],[Code]],Locaties[#All],6,FALSE)</f>
        <v>Oldenzaal</v>
      </c>
      <c r="F273" s="248"/>
      <c r="G273" s="246" t="s">
        <v>679</v>
      </c>
      <c r="H273" s="246" t="s">
        <v>930</v>
      </c>
      <c r="I273" s="248" t="s">
        <v>557</v>
      </c>
      <c r="J273" s="187">
        <v>2</v>
      </c>
      <c r="K273" s="187" t="str">
        <f>VLOOKUP(Ruimtestaat[[#This Row],[Ruimte code]],Ruimtegroepen[#All],2,FALSE)</f>
        <v>Kantoren/kantoortuin</v>
      </c>
      <c r="L273" s="247" t="s">
        <v>1204</v>
      </c>
      <c r="M273" s="246" t="s">
        <v>1205</v>
      </c>
      <c r="N273" s="200">
        <v>20</v>
      </c>
      <c r="O273" s="200"/>
      <c r="P273" s="231" t="str">
        <f>VLOOKUP(Ruimtestaat[[#This Row],[Ruimte code]],Ruimtegroepen[#All],4,FALSE)</f>
        <v>B  (Bureauruimte)</v>
      </c>
      <c r="Q273" s="201"/>
      <c r="R273" s="202">
        <v>42</v>
      </c>
      <c r="S273" s="202" t="s">
        <v>2</v>
      </c>
      <c r="T273" s="202">
        <f>IF(R273&gt;0,IF(RIGHT(Ruimtestaat[[#This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73" s="202">
        <f>IF(T273&gt;0,VLOOKUP($J273,Ruimtegroepen[],3,FALSE)*VLOOKUP($L273,Vloersoorten[],3,FALSE)*VLOOKUP($S273,Frequenties[],3,FALSE)*VLOOKUP($A273,Locaties[],3,FALSE),0)</f>
        <v>0</v>
      </c>
      <c r="V273" s="202">
        <f>Ruimtestaat[[#This Row],[Uitvoeringen werkdagen]]*Ruimtestaat[[#This Row],[Oppervlak (netto)]]</f>
        <v>4200</v>
      </c>
      <c r="W273" s="242">
        <f>IF(U273&gt;0,Ruimtestaat[[#This Row],[Prest. (m2 /jaar) werkdagen]]/Ruimtestaat[[#This Row],[Norm (m2/uur) werkdagen]],0)</f>
        <v>0</v>
      </c>
      <c r="X273" s="243">
        <f>Ruimtestaat[[#This Row],[uren / jaar werkdagen]]*Tariefsopbouw!$D$38</f>
        <v>0</v>
      </c>
      <c r="Y273" s="33"/>
      <c r="Z273" s="33">
        <f>IF(Ruimtestaat[[#This Row],[Frequentie weekend]]&gt;0,VALUE(LEFT(Y273,1))*R273,0)</f>
        <v>0</v>
      </c>
      <c r="AA273" s="33">
        <f>IF($Z273&gt;0,VLOOKUP($J273,Ruimtegroepen[],3,FALSE)*VLOOKUP($L273,Vloersoorten[],3,FALSE)*VLOOKUP($Y273,Frequenties[],3,FALSE)*VLOOKUP(#REF!,Locaties[],3,FALSE),0)</f>
        <v>0</v>
      </c>
      <c r="AB273" s="33"/>
      <c r="AC273" s="33"/>
      <c r="AD273" s="33">
        <f>Ruimtestaat[[#This Row],[uren / jaar weekend]]*Tariefsopbouw!$D$40</f>
        <v>0</v>
      </c>
      <c r="AE273" s="86">
        <f>Ruimtestaat[[#This Row],[Prest. (m2 /jaar) weekend]]+Ruimtestaat[[#This Row],[Prest. (m2 /jaar) werkdagen]]</f>
        <v>4200</v>
      </c>
      <c r="AF273" s="86">
        <f>Ruimtestaat[[#This Row],[uren / jaar weekend]]+Ruimtestaat[[#This Row],[uren / jaar werkdagen]]</f>
        <v>0</v>
      </c>
      <c r="AG273" s="87">
        <f>Ruimtestaat[[#This Row],[kosten / jaar weekend]]+Ruimtestaat[[#This Row],[kosten / jaar werkdagen]]</f>
        <v>0</v>
      </c>
    </row>
    <row r="274" spans="1:33" ht="15" customHeight="1">
      <c r="A274" s="187">
        <v>4</v>
      </c>
      <c r="B274" s="21" t="str">
        <f>VLOOKUP(Ruimtestaat[[#This Row],[Code]],Locaties[#All],2,FALSE)</f>
        <v xml:space="preserve">Lyceumstraat </v>
      </c>
      <c r="C274" s="247" t="str">
        <f>VLOOKUP(Ruimtestaat[[#This Row],[Code]],Locaties[#All],4,FALSE)</f>
        <v>Lyceumstraat 36</v>
      </c>
      <c r="D274" s="247" t="str">
        <f>VLOOKUP(Ruimtestaat[[#This Row],[Code]],Locaties[#All],5,FALSE)</f>
        <v>7572 CR</v>
      </c>
      <c r="E274" s="187" t="str">
        <f>VLOOKUP(Ruimtestaat[[#This Row],[Code]],Locaties[#All],6,FALSE)</f>
        <v>Oldenzaal</v>
      </c>
      <c r="F274" s="248"/>
      <c r="G274" s="246" t="s">
        <v>679</v>
      </c>
      <c r="H274" s="246" t="s">
        <v>931</v>
      </c>
      <c r="I274" s="248" t="s">
        <v>591</v>
      </c>
      <c r="J274" s="187">
        <v>5</v>
      </c>
      <c r="K274" s="187" t="str">
        <f>VLOOKUP(Ruimtestaat[[#This Row],[Ruimte code]],Ruimtegroepen[#All],2,FALSE)</f>
        <v>Sanitair</v>
      </c>
      <c r="L274" s="247" t="s">
        <v>677</v>
      </c>
      <c r="M274" s="246" t="s">
        <v>1200</v>
      </c>
      <c r="N274" s="200">
        <v>6</v>
      </c>
      <c r="O274" s="200"/>
      <c r="P274" s="231" t="str">
        <f>VLOOKUP(Ruimtestaat[[#This Row],[Ruimte code]],Ruimtegroepen[#All],4,FALSE)</f>
        <v>S  (Sanitair)</v>
      </c>
      <c r="Q274" s="201"/>
      <c r="R274" s="202">
        <v>42</v>
      </c>
      <c r="S274" s="202" t="s">
        <v>19</v>
      </c>
      <c r="T274" s="202">
        <f>IF(R274&gt;0,IF(RIGHT(Ruimtestaat[[#This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274" s="202">
        <f>IF(T274&gt;0,VLOOKUP($J274,Ruimtegroepen[],3,FALSE)*VLOOKUP($L274,Vloersoorten[],3,FALSE)*VLOOKUP($S274,Frequenties[],3,FALSE)*VLOOKUP($A274,Locaties[],3,FALSE),0)</f>
        <v>0</v>
      </c>
      <c r="V274" s="202">
        <f>Ruimtestaat[[#This Row],[Uitvoeringen werkdagen]]*Ruimtestaat[[#This Row],[Oppervlak (netto)]]</f>
        <v>2520</v>
      </c>
      <c r="W274" s="242">
        <f>IF(U274&gt;0,Ruimtestaat[[#This Row],[Prest. (m2 /jaar) werkdagen]]/Ruimtestaat[[#This Row],[Norm (m2/uur) werkdagen]],0)</f>
        <v>0</v>
      </c>
      <c r="X274" s="243">
        <f>Ruimtestaat[[#This Row],[uren / jaar werkdagen]]*Tariefsopbouw!$D$38</f>
        <v>0</v>
      </c>
      <c r="Y274" s="33"/>
      <c r="Z274" s="33">
        <f>IF(Ruimtestaat[[#This Row],[Frequentie weekend]]&gt;0,VALUE(LEFT(Y274,1))*R274,0)</f>
        <v>0</v>
      </c>
      <c r="AA274" s="33">
        <f>IF($Z274&gt;0,VLOOKUP($J274,Ruimtegroepen[],3,FALSE)*VLOOKUP($L274,Vloersoorten[],3,FALSE)*VLOOKUP($Y274,Frequenties[],3,FALSE)*VLOOKUP(#REF!,Locaties[],3,FALSE),0)</f>
        <v>0</v>
      </c>
      <c r="AB274" s="33"/>
      <c r="AC274" s="33"/>
      <c r="AD274" s="33">
        <f>Ruimtestaat[[#This Row],[uren / jaar weekend]]*Tariefsopbouw!$D$40</f>
        <v>0</v>
      </c>
      <c r="AE274" s="86">
        <f>Ruimtestaat[[#This Row],[Prest. (m2 /jaar) weekend]]+Ruimtestaat[[#This Row],[Prest. (m2 /jaar) werkdagen]]</f>
        <v>2520</v>
      </c>
      <c r="AF274" s="86">
        <f>Ruimtestaat[[#This Row],[uren / jaar weekend]]+Ruimtestaat[[#This Row],[uren / jaar werkdagen]]</f>
        <v>0</v>
      </c>
      <c r="AG274" s="87">
        <f>Ruimtestaat[[#This Row],[kosten / jaar weekend]]+Ruimtestaat[[#This Row],[kosten / jaar werkdagen]]</f>
        <v>0</v>
      </c>
    </row>
    <row r="275" spans="1:33" ht="15" customHeight="1">
      <c r="A275" s="187">
        <v>4</v>
      </c>
      <c r="B275" s="21" t="str">
        <f>VLOOKUP(Ruimtestaat[[#This Row],[Code]],Locaties[#All],2,FALSE)</f>
        <v xml:space="preserve">Lyceumstraat </v>
      </c>
      <c r="C275" s="247" t="str">
        <f>VLOOKUP(Ruimtestaat[[#This Row],[Code]],Locaties[#All],4,FALSE)</f>
        <v>Lyceumstraat 36</v>
      </c>
      <c r="D275" s="247" t="str">
        <f>VLOOKUP(Ruimtestaat[[#This Row],[Code]],Locaties[#All],5,FALSE)</f>
        <v>7572 CR</v>
      </c>
      <c r="E275" s="187" t="str">
        <f>VLOOKUP(Ruimtestaat[[#This Row],[Code]],Locaties[#All],6,FALSE)</f>
        <v>Oldenzaal</v>
      </c>
      <c r="F275" s="248"/>
      <c r="G275" s="246" t="s">
        <v>679</v>
      </c>
      <c r="H275" s="246" t="s">
        <v>932</v>
      </c>
      <c r="I275" s="248" t="s">
        <v>608</v>
      </c>
      <c r="J275" s="187">
        <v>5</v>
      </c>
      <c r="K275" s="187" t="str">
        <f>VLOOKUP(Ruimtestaat[[#This Row],[Ruimte code]],Ruimtegroepen[#All],2,FALSE)</f>
        <v>Sanitair</v>
      </c>
      <c r="L275" s="247" t="s">
        <v>677</v>
      </c>
      <c r="M275" s="246" t="s">
        <v>1200</v>
      </c>
      <c r="N275" s="200">
        <v>9</v>
      </c>
      <c r="O275" s="200"/>
      <c r="P275" s="231" t="str">
        <f>VLOOKUP(Ruimtestaat[[#This Row],[Ruimte code]],Ruimtegroepen[#All],4,FALSE)</f>
        <v>S  (Sanitair)</v>
      </c>
      <c r="Q275" s="201"/>
      <c r="R275" s="202">
        <v>42</v>
      </c>
      <c r="S275" s="202" t="s">
        <v>19</v>
      </c>
      <c r="T275" s="202">
        <f>IF(R275&gt;0,IF(RIGHT(Ruimtestaat[[#This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275" s="202">
        <f>IF(T275&gt;0,VLOOKUP($J275,Ruimtegroepen[],3,FALSE)*VLOOKUP($L275,Vloersoorten[],3,FALSE)*VLOOKUP($S275,Frequenties[],3,FALSE)*VLOOKUP($A275,Locaties[],3,FALSE),0)</f>
        <v>0</v>
      </c>
      <c r="V275" s="202">
        <f>Ruimtestaat[[#This Row],[Uitvoeringen werkdagen]]*Ruimtestaat[[#This Row],[Oppervlak (netto)]]</f>
        <v>3780</v>
      </c>
      <c r="W275" s="242">
        <f>IF(U275&gt;0,Ruimtestaat[[#This Row],[Prest. (m2 /jaar) werkdagen]]/Ruimtestaat[[#This Row],[Norm (m2/uur) werkdagen]],0)</f>
        <v>0</v>
      </c>
      <c r="X275" s="243">
        <f>Ruimtestaat[[#This Row],[uren / jaar werkdagen]]*Tariefsopbouw!$D$38</f>
        <v>0</v>
      </c>
      <c r="Y275" s="33"/>
      <c r="Z275" s="33">
        <f>IF(Ruimtestaat[[#This Row],[Frequentie weekend]]&gt;0,VALUE(LEFT(Y275,1))*R275,0)</f>
        <v>0</v>
      </c>
      <c r="AA275" s="33">
        <f>IF($Z275&gt;0,VLOOKUP($J275,Ruimtegroepen[],3,FALSE)*VLOOKUP($L275,Vloersoorten[],3,FALSE)*VLOOKUP($Y275,Frequenties[],3,FALSE)*VLOOKUP(#REF!,Locaties[],3,FALSE),0)</f>
        <v>0</v>
      </c>
      <c r="AB275" s="33"/>
      <c r="AC275" s="33"/>
      <c r="AD275" s="33">
        <f>Ruimtestaat[[#This Row],[uren / jaar weekend]]*Tariefsopbouw!$D$40</f>
        <v>0</v>
      </c>
      <c r="AE275" s="86">
        <f>Ruimtestaat[[#This Row],[Prest. (m2 /jaar) weekend]]+Ruimtestaat[[#This Row],[Prest. (m2 /jaar) werkdagen]]</f>
        <v>3780</v>
      </c>
      <c r="AF275" s="86">
        <f>Ruimtestaat[[#This Row],[uren / jaar weekend]]+Ruimtestaat[[#This Row],[uren / jaar werkdagen]]</f>
        <v>0</v>
      </c>
      <c r="AG275" s="87">
        <f>Ruimtestaat[[#This Row],[kosten / jaar weekend]]+Ruimtestaat[[#This Row],[kosten / jaar werkdagen]]</f>
        <v>0</v>
      </c>
    </row>
    <row r="276" spans="1:33" ht="15" customHeight="1">
      <c r="A276" s="187">
        <v>4</v>
      </c>
      <c r="B276" s="21" t="str">
        <f>VLOOKUP(Ruimtestaat[[#This Row],[Code]],Locaties[#All],2,FALSE)</f>
        <v xml:space="preserve">Lyceumstraat </v>
      </c>
      <c r="C276" s="247" t="str">
        <f>VLOOKUP(Ruimtestaat[[#This Row],[Code]],Locaties[#All],4,FALSE)</f>
        <v>Lyceumstraat 36</v>
      </c>
      <c r="D276" s="247" t="str">
        <f>VLOOKUP(Ruimtestaat[[#This Row],[Code]],Locaties[#All],5,FALSE)</f>
        <v>7572 CR</v>
      </c>
      <c r="E276" s="187" t="str">
        <f>VLOOKUP(Ruimtestaat[[#This Row],[Code]],Locaties[#All],6,FALSE)</f>
        <v>Oldenzaal</v>
      </c>
      <c r="F276" s="248"/>
      <c r="G276" s="246" t="s">
        <v>679</v>
      </c>
      <c r="H276" s="246" t="s">
        <v>933</v>
      </c>
      <c r="I276" s="248" t="s">
        <v>934</v>
      </c>
      <c r="J276" s="187">
        <v>7</v>
      </c>
      <c r="K276" s="187" t="str">
        <f>VLOOKUP(Ruimtestaat[[#This Row],[Ruimte code]],Ruimtegroepen[#All],2,FALSE)</f>
        <v>Entree / buitenentree</v>
      </c>
      <c r="L276" s="247" t="s">
        <v>677</v>
      </c>
      <c r="M276" s="246" t="s">
        <v>1200</v>
      </c>
      <c r="N276" s="200">
        <v>93</v>
      </c>
      <c r="O276" s="200"/>
      <c r="P276" s="231" t="str">
        <f>VLOOKUP(Ruimtestaat[[#This Row],[Ruimte code]],Ruimtegroepen[#All],4,FALSE)</f>
        <v>V  (Verkeersruimte)</v>
      </c>
      <c r="Q276" s="201"/>
      <c r="R276" s="202">
        <v>42</v>
      </c>
      <c r="S276" s="202" t="s">
        <v>2</v>
      </c>
      <c r="T276" s="202">
        <f>IF(R276&gt;0,IF(RIGHT(Ruimtestaat[[#This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76" s="202">
        <f>IF(T276&gt;0,VLOOKUP($J276,Ruimtegroepen[],3,FALSE)*VLOOKUP($L276,Vloersoorten[],3,FALSE)*VLOOKUP($S276,Frequenties[],3,FALSE)*VLOOKUP($A276,Locaties[],3,FALSE),0)</f>
        <v>0</v>
      </c>
      <c r="V276" s="202">
        <f>Ruimtestaat[[#This Row],[Uitvoeringen werkdagen]]*Ruimtestaat[[#This Row],[Oppervlak (netto)]]</f>
        <v>19530</v>
      </c>
      <c r="W276" s="242">
        <f>IF(U276&gt;0,Ruimtestaat[[#This Row],[Prest. (m2 /jaar) werkdagen]]/Ruimtestaat[[#This Row],[Norm (m2/uur) werkdagen]],0)</f>
        <v>0</v>
      </c>
      <c r="X276" s="243">
        <f>Ruimtestaat[[#This Row],[uren / jaar werkdagen]]*Tariefsopbouw!$D$38</f>
        <v>0</v>
      </c>
      <c r="Y276" s="33"/>
      <c r="Z276" s="33">
        <f>IF(Ruimtestaat[[#This Row],[Frequentie weekend]]&gt;0,VALUE(LEFT(Y276,1))*R276,0)</f>
        <v>0</v>
      </c>
      <c r="AA276" s="33">
        <f>IF($Z276&gt;0,VLOOKUP($J276,Ruimtegroepen[],3,FALSE)*VLOOKUP($L276,Vloersoorten[],3,FALSE)*VLOOKUP($Y276,Frequenties[],3,FALSE)*VLOOKUP(#REF!,Locaties[],3,FALSE),0)</f>
        <v>0</v>
      </c>
      <c r="AB276" s="33"/>
      <c r="AC276" s="33"/>
      <c r="AD276" s="33">
        <f>Ruimtestaat[[#This Row],[uren / jaar weekend]]*Tariefsopbouw!$D$40</f>
        <v>0</v>
      </c>
      <c r="AE276" s="86">
        <f>Ruimtestaat[[#This Row],[Prest. (m2 /jaar) weekend]]+Ruimtestaat[[#This Row],[Prest. (m2 /jaar) werkdagen]]</f>
        <v>19530</v>
      </c>
      <c r="AF276" s="86">
        <f>Ruimtestaat[[#This Row],[uren / jaar weekend]]+Ruimtestaat[[#This Row],[uren / jaar werkdagen]]</f>
        <v>0</v>
      </c>
      <c r="AG276" s="87">
        <f>Ruimtestaat[[#This Row],[kosten / jaar weekend]]+Ruimtestaat[[#This Row],[kosten / jaar werkdagen]]</f>
        <v>0</v>
      </c>
    </row>
    <row r="277" spans="1:33" ht="15" customHeight="1">
      <c r="A277" s="187">
        <v>4</v>
      </c>
      <c r="B277" s="21" t="str">
        <f>VLOOKUP(Ruimtestaat[[#This Row],[Code]],Locaties[#All],2,FALSE)</f>
        <v xml:space="preserve">Lyceumstraat </v>
      </c>
      <c r="C277" s="247" t="str">
        <f>VLOOKUP(Ruimtestaat[[#This Row],[Code]],Locaties[#All],4,FALSE)</f>
        <v>Lyceumstraat 36</v>
      </c>
      <c r="D277" s="247" t="str">
        <f>VLOOKUP(Ruimtestaat[[#This Row],[Code]],Locaties[#All],5,FALSE)</f>
        <v>7572 CR</v>
      </c>
      <c r="E277" s="187" t="str">
        <f>VLOOKUP(Ruimtestaat[[#This Row],[Code]],Locaties[#All],6,FALSE)</f>
        <v>Oldenzaal</v>
      </c>
      <c r="F277" s="248"/>
      <c r="G277" s="246" t="s">
        <v>679</v>
      </c>
      <c r="H277" s="246" t="s">
        <v>935</v>
      </c>
      <c r="I277" s="248" t="s">
        <v>414</v>
      </c>
      <c r="J277" s="187">
        <v>6</v>
      </c>
      <c r="K277" s="187" t="str">
        <f>VLOOKUP(Ruimtestaat[[#This Row],[Ruimte code]],Ruimtegroepen[#All],2,FALSE)</f>
        <v>Gangen/hallen</v>
      </c>
      <c r="L277" s="202" t="s">
        <v>108</v>
      </c>
      <c r="M277" s="246" t="s">
        <v>1201</v>
      </c>
      <c r="N277" s="200">
        <v>60</v>
      </c>
      <c r="O277" s="200"/>
      <c r="P277" s="231" t="str">
        <f>VLOOKUP(Ruimtestaat[[#This Row],[Ruimte code]],Ruimtegroepen[#All],4,FALSE)</f>
        <v>V  (Verkeersruimte)</v>
      </c>
      <c r="Q277" s="201"/>
      <c r="R277" s="202">
        <v>42</v>
      </c>
      <c r="S277" s="202" t="s">
        <v>2</v>
      </c>
      <c r="T277" s="202">
        <f>IF(R277&gt;0,IF(RIGHT(Ruimtestaat[[#This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77" s="202">
        <f>IF(T277&gt;0,VLOOKUP($J277,Ruimtegroepen[],3,FALSE)*VLOOKUP($L277,Vloersoorten[],3,FALSE)*VLOOKUP($S277,Frequenties[],3,FALSE)*VLOOKUP($A277,Locaties[],3,FALSE),0)</f>
        <v>0</v>
      </c>
      <c r="V277" s="202">
        <f>Ruimtestaat[[#This Row],[Uitvoeringen werkdagen]]*Ruimtestaat[[#This Row],[Oppervlak (netto)]]</f>
        <v>12600</v>
      </c>
      <c r="W277" s="242">
        <f>IF(U277&gt;0,Ruimtestaat[[#This Row],[Prest. (m2 /jaar) werkdagen]]/Ruimtestaat[[#This Row],[Norm (m2/uur) werkdagen]],0)</f>
        <v>0</v>
      </c>
      <c r="X277" s="243">
        <f>Ruimtestaat[[#This Row],[uren / jaar werkdagen]]*Tariefsopbouw!$D$38</f>
        <v>0</v>
      </c>
      <c r="Y277" s="33"/>
      <c r="Z277" s="33">
        <f>IF(Ruimtestaat[[#This Row],[Frequentie weekend]]&gt;0,VALUE(LEFT(Y277,1))*R277,0)</f>
        <v>0</v>
      </c>
      <c r="AA277" s="33">
        <f>IF($Z277&gt;0,VLOOKUP($J277,Ruimtegroepen[],3,FALSE)*VLOOKUP($L277,Vloersoorten[],3,FALSE)*VLOOKUP($Y277,Frequenties[],3,FALSE)*VLOOKUP(#REF!,Locaties[],3,FALSE),0)</f>
        <v>0</v>
      </c>
      <c r="AB277" s="33"/>
      <c r="AC277" s="33"/>
      <c r="AD277" s="33">
        <f>Ruimtestaat[[#This Row],[uren / jaar weekend]]*Tariefsopbouw!$D$40</f>
        <v>0</v>
      </c>
      <c r="AE277" s="86">
        <f>Ruimtestaat[[#This Row],[Prest. (m2 /jaar) weekend]]+Ruimtestaat[[#This Row],[Prest. (m2 /jaar) werkdagen]]</f>
        <v>12600</v>
      </c>
      <c r="AF277" s="86">
        <f>Ruimtestaat[[#This Row],[uren / jaar weekend]]+Ruimtestaat[[#This Row],[uren / jaar werkdagen]]</f>
        <v>0</v>
      </c>
      <c r="AG277" s="87">
        <f>Ruimtestaat[[#This Row],[kosten / jaar weekend]]+Ruimtestaat[[#This Row],[kosten / jaar werkdagen]]</f>
        <v>0</v>
      </c>
    </row>
    <row r="278" spans="1:33" ht="15" customHeight="1">
      <c r="A278" s="187">
        <v>4</v>
      </c>
      <c r="B278" s="21" t="str">
        <f>VLOOKUP(Ruimtestaat[[#This Row],[Code]],Locaties[#All],2,FALSE)</f>
        <v xml:space="preserve">Lyceumstraat </v>
      </c>
      <c r="C278" s="247" t="str">
        <f>VLOOKUP(Ruimtestaat[[#This Row],[Code]],Locaties[#All],4,FALSE)</f>
        <v>Lyceumstraat 36</v>
      </c>
      <c r="D278" s="247" t="str">
        <f>VLOOKUP(Ruimtestaat[[#This Row],[Code]],Locaties[#All],5,FALSE)</f>
        <v>7572 CR</v>
      </c>
      <c r="E278" s="187" t="str">
        <f>VLOOKUP(Ruimtestaat[[#This Row],[Code]],Locaties[#All],6,FALSE)</f>
        <v>Oldenzaal</v>
      </c>
      <c r="F278" s="248"/>
      <c r="G278" s="246" t="s">
        <v>679</v>
      </c>
      <c r="H278" s="246" t="s">
        <v>936</v>
      </c>
      <c r="I278" s="248" t="s">
        <v>414</v>
      </c>
      <c r="J278" s="187">
        <v>6</v>
      </c>
      <c r="K278" s="187" t="str">
        <f>VLOOKUP(Ruimtestaat[[#This Row],[Ruimte code]],Ruimtegroepen[#All],2,FALSE)</f>
        <v>Gangen/hallen</v>
      </c>
      <c r="L278" s="247" t="s">
        <v>677</v>
      </c>
      <c r="M278" s="246" t="s">
        <v>1200</v>
      </c>
      <c r="N278" s="200">
        <v>118</v>
      </c>
      <c r="O278" s="200"/>
      <c r="P278" s="231" t="str">
        <f>VLOOKUP(Ruimtestaat[[#This Row],[Ruimte code]],Ruimtegroepen[#All],4,FALSE)</f>
        <v>V  (Verkeersruimte)</v>
      </c>
      <c r="Q278" s="201"/>
      <c r="R278" s="202">
        <v>42</v>
      </c>
      <c r="S278" s="202" t="s">
        <v>2</v>
      </c>
      <c r="T278" s="202">
        <f>IF(R278&gt;0,IF(RIGHT(Ruimtestaat[[#This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78" s="202">
        <f>IF(T278&gt;0,VLOOKUP($J278,Ruimtegroepen[],3,FALSE)*VLOOKUP($L278,Vloersoorten[],3,FALSE)*VLOOKUP($S278,Frequenties[],3,FALSE)*VLOOKUP($A278,Locaties[],3,FALSE),0)</f>
        <v>0</v>
      </c>
      <c r="V278" s="202">
        <f>Ruimtestaat[[#This Row],[Uitvoeringen werkdagen]]*Ruimtestaat[[#This Row],[Oppervlak (netto)]]</f>
        <v>24780</v>
      </c>
      <c r="W278" s="242">
        <f>IF(U278&gt;0,Ruimtestaat[[#This Row],[Prest. (m2 /jaar) werkdagen]]/Ruimtestaat[[#This Row],[Norm (m2/uur) werkdagen]],0)</f>
        <v>0</v>
      </c>
      <c r="X278" s="243">
        <f>Ruimtestaat[[#This Row],[uren / jaar werkdagen]]*Tariefsopbouw!$D$38</f>
        <v>0</v>
      </c>
      <c r="Y278" s="33"/>
      <c r="Z278" s="33">
        <f>IF(Ruimtestaat[[#This Row],[Frequentie weekend]]&gt;0,VALUE(LEFT(Y278,1))*R278,0)</f>
        <v>0</v>
      </c>
      <c r="AA278" s="33">
        <f>IF($Z278&gt;0,VLOOKUP($J278,Ruimtegroepen[],3,FALSE)*VLOOKUP($L278,Vloersoorten[],3,FALSE)*VLOOKUP($Y278,Frequenties[],3,FALSE)*VLOOKUP(#REF!,Locaties[],3,FALSE),0)</f>
        <v>0</v>
      </c>
      <c r="AB278" s="33"/>
      <c r="AC278" s="33"/>
      <c r="AD278" s="33">
        <f>Ruimtestaat[[#This Row],[uren / jaar weekend]]*Tariefsopbouw!$D$40</f>
        <v>0</v>
      </c>
      <c r="AE278" s="86">
        <f>Ruimtestaat[[#This Row],[Prest. (m2 /jaar) weekend]]+Ruimtestaat[[#This Row],[Prest. (m2 /jaar) werkdagen]]</f>
        <v>24780</v>
      </c>
      <c r="AF278" s="86">
        <f>Ruimtestaat[[#This Row],[uren / jaar weekend]]+Ruimtestaat[[#This Row],[uren / jaar werkdagen]]</f>
        <v>0</v>
      </c>
      <c r="AG278" s="87">
        <f>Ruimtestaat[[#This Row],[kosten / jaar weekend]]+Ruimtestaat[[#This Row],[kosten / jaar werkdagen]]</f>
        <v>0</v>
      </c>
    </row>
    <row r="279" spans="1:33" ht="15" customHeight="1">
      <c r="A279" s="187">
        <v>4</v>
      </c>
      <c r="B279" s="21" t="str">
        <f>VLOOKUP(Ruimtestaat[[#This Row],[Code]],Locaties[#All],2,FALSE)</f>
        <v xml:space="preserve">Lyceumstraat </v>
      </c>
      <c r="C279" s="247" t="str">
        <f>VLOOKUP(Ruimtestaat[[#This Row],[Code]],Locaties[#All],4,FALSE)</f>
        <v>Lyceumstraat 36</v>
      </c>
      <c r="D279" s="247" t="str">
        <f>VLOOKUP(Ruimtestaat[[#This Row],[Code]],Locaties[#All],5,FALSE)</f>
        <v>7572 CR</v>
      </c>
      <c r="E279" s="187" t="str">
        <f>VLOOKUP(Ruimtestaat[[#This Row],[Code]],Locaties[#All],6,FALSE)</f>
        <v>Oldenzaal</v>
      </c>
      <c r="F279" s="248"/>
      <c r="G279" s="246" t="s">
        <v>679</v>
      </c>
      <c r="H279" s="246" t="s">
        <v>937</v>
      </c>
      <c r="I279" s="248" t="s">
        <v>938</v>
      </c>
      <c r="J279" s="187">
        <v>7</v>
      </c>
      <c r="K279" s="187" t="str">
        <f>VLOOKUP(Ruimtestaat[[#This Row],[Ruimte code]],Ruimtegroepen[#All],2,FALSE)</f>
        <v>Entree / buitenentree</v>
      </c>
      <c r="L279" s="202" t="s">
        <v>108</v>
      </c>
      <c r="M279" s="246" t="s">
        <v>1201</v>
      </c>
      <c r="N279" s="200">
        <v>60</v>
      </c>
      <c r="O279" s="200"/>
      <c r="P279" s="231" t="str">
        <f>VLOOKUP(Ruimtestaat[[#This Row],[Ruimte code]],Ruimtegroepen[#All],4,FALSE)</f>
        <v>V  (Verkeersruimte)</v>
      </c>
      <c r="Q279" s="201"/>
      <c r="R279" s="202">
        <v>42</v>
      </c>
      <c r="S279" s="202" t="s">
        <v>2</v>
      </c>
      <c r="T279" s="202">
        <f>IF(R279&gt;0,IF(RIGHT(Ruimtestaat[[#This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79" s="202">
        <f>IF(T279&gt;0,VLOOKUP($J279,Ruimtegroepen[],3,FALSE)*VLOOKUP($L279,Vloersoorten[],3,FALSE)*VLOOKUP($S279,Frequenties[],3,FALSE)*VLOOKUP($A279,Locaties[],3,FALSE),0)</f>
        <v>0</v>
      </c>
      <c r="V279" s="202">
        <f>Ruimtestaat[[#This Row],[Uitvoeringen werkdagen]]*Ruimtestaat[[#This Row],[Oppervlak (netto)]]</f>
        <v>12600</v>
      </c>
      <c r="W279" s="242">
        <f>IF(U279&gt;0,Ruimtestaat[[#This Row],[Prest. (m2 /jaar) werkdagen]]/Ruimtestaat[[#This Row],[Norm (m2/uur) werkdagen]],0)</f>
        <v>0</v>
      </c>
      <c r="X279" s="243">
        <f>Ruimtestaat[[#This Row],[uren / jaar werkdagen]]*Tariefsopbouw!$D$38</f>
        <v>0</v>
      </c>
      <c r="Y279" s="33"/>
      <c r="Z279" s="33">
        <f>IF(Ruimtestaat[[#This Row],[Frequentie weekend]]&gt;0,VALUE(LEFT(Y279,1))*R279,0)</f>
        <v>0</v>
      </c>
      <c r="AA279" s="33">
        <f>IF($Z279&gt;0,VLOOKUP($J279,Ruimtegroepen[],3,FALSE)*VLOOKUP($L279,Vloersoorten[],3,FALSE)*VLOOKUP($Y279,Frequenties[],3,FALSE)*VLOOKUP(#REF!,Locaties[],3,FALSE),0)</f>
        <v>0</v>
      </c>
      <c r="AB279" s="33"/>
      <c r="AC279" s="33"/>
      <c r="AD279" s="33">
        <f>Ruimtestaat[[#This Row],[uren / jaar weekend]]*Tariefsopbouw!$D$40</f>
        <v>0</v>
      </c>
      <c r="AE279" s="86">
        <f>Ruimtestaat[[#This Row],[Prest. (m2 /jaar) weekend]]+Ruimtestaat[[#This Row],[Prest. (m2 /jaar) werkdagen]]</f>
        <v>12600</v>
      </c>
      <c r="AF279" s="86">
        <f>Ruimtestaat[[#This Row],[uren / jaar weekend]]+Ruimtestaat[[#This Row],[uren / jaar werkdagen]]</f>
        <v>0</v>
      </c>
      <c r="AG279" s="87">
        <f>Ruimtestaat[[#This Row],[kosten / jaar weekend]]+Ruimtestaat[[#This Row],[kosten / jaar werkdagen]]</f>
        <v>0</v>
      </c>
    </row>
    <row r="280" spans="1:33" ht="15" customHeight="1">
      <c r="A280" s="187">
        <v>4</v>
      </c>
      <c r="B280" s="21" t="str">
        <f>VLOOKUP(Ruimtestaat[[#This Row],[Code]],Locaties[#All],2,FALSE)</f>
        <v xml:space="preserve">Lyceumstraat </v>
      </c>
      <c r="C280" s="247" t="str">
        <f>VLOOKUP(Ruimtestaat[[#This Row],[Code]],Locaties[#All],4,FALSE)</f>
        <v>Lyceumstraat 36</v>
      </c>
      <c r="D280" s="247" t="str">
        <f>VLOOKUP(Ruimtestaat[[#This Row],[Code]],Locaties[#All],5,FALSE)</f>
        <v>7572 CR</v>
      </c>
      <c r="E280" s="187" t="str">
        <f>VLOOKUP(Ruimtestaat[[#This Row],[Code]],Locaties[#All],6,FALSE)</f>
        <v>Oldenzaal</v>
      </c>
      <c r="F280" s="248"/>
      <c r="G280" s="246" t="s">
        <v>679</v>
      </c>
      <c r="H280" s="246" t="s">
        <v>939</v>
      </c>
      <c r="I280" s="248" t="s">
        <v>414</v>
      </c>
      <c r="J280" s="187">
        <v>6</v>
      </c>
      <c r="K280" s="187" t="str">
        <f>VLOOKUP(Ruimtestaat[[#This Row],[Ruimte code]],Ruimtegroepen[#All],2,FALSE)</f>
        <v>Gangen/hallen</v>
      </c>
      <c r="L280" s="247" t="s">
        <v>677</v>
      </c>
      <c r="M280" s="246" t="s">
        <v>1200</v>
      </c>
      <c r="N280" s="200">
        <v>15</v>
      </c>
      <c r="O280" s="200"/>
      <c r="P280" s="231" t="str">
        <f>VLOOKUP(Ruimtestaat[[#This Row],[Ruimte code]],Ruimtegroepen[#All],4,FALSE)</f>
        <v>V  (Verkeersruimte)</v>
      </c>
      <c r="Q280" s="201"/>
      <c r="R280" s="202">
        <v>42</v>
      </c>
      <c r="S280" s="202" t="s">
        <v>2</v>
      </c>
      <c r="T280" s="202">
        <f>IF(R280&gt;0,IF(RIGHT(Ruimtestaat[[#This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80" s="202">
        <f>IF(T280&gt;0,VLOOKUP($J280,Ruimtegroepen[],3,FALSE)*VLOOKUP($L280,Vloersoorten[],3,FALSE)*VLOOKUP($S280,Frequenties[],3,FALSE)*VLOOKUP($A280,Locaties[],3,FALSE),0)</f>
        <v>0</v>
      </c>
      <c r="V280" s="202">
        <f>Ruimtestaat[[#This Row],[Uitvoeringen werkdagen]]*Ruimtestaat[[#This Row],[Oppervlak (netto)]]</f>
        <v>3150</v>
      </c>
      <c r="W280" s="242">
        <f>IF(U280&gt;0,Ruimtestaat[[#This Row],[Prest. (m2 /jaar) werkdagen]]/Ruimtestaat[[#This Row],[Norm (m2/uur) werkdagen]],0)</f>
        <v>0</v>
      </c>
      <c r="X280" s="243">
        <f>Ruimtestaat[[#This Row],[uren / jaar werkdagen]]*Tariefsopbouw!$D$38</f>
        <v>0</v>
      </c>
      <c r="Y280" s="33"/>
      <c r="Z280" s="33">
        <f>IF(Ruimtestaat[[#This Row],[Frequentie weekend]]&gt;0,VALUE(LEFT(Y280,1))*R280,0)</f>
        <v>0</v>
      </c>
      <c r="AA280" s="33">
        <f>IF($Z280&gt;0,VLOOKUP($J280,Ruimtegroepen[],3,FALSE)*VLOOKUP($L280,Vloersoorten[],3,FALSE)*VLOOKUP($Y280,Frequenties[],3,FALSE)*VLOOKUP(#REF!,Locaties[],3,FALSE),0)</f>
        <v>0</v>
      </c>
      <c r="AB280" s="33"/>
      <c r="AC280" s="33"/>
      <c r="AD280" s="33">
        <f>Ruimtestaat[[#This Row],[uren / jaar weekend]]*Tariefsopbouw!$D$40</f>
        <v>0</v>
      </c>
      <c r="AE280" s="86">
        <f>Ruimtestaat[[#This Row],[Prest. (m2 /jaar) weekend]]+Ruimtestaat[[#This Row],[Prest. (m2 /jaar) werkdagen]]</f>
        <v>3150</v>
      </c>
      <c r="AF280" s="86">
        <f>Ruimtestaat[[#This Row],[uren / jaar weekend]]+Ruimtestaat[[#This Row],[uren / jaar werkdagen]]</f>
        <v>0</v>
      </c>
      <c r="AG280" s="87">
        <f>Ruimtestaat[[#This Row],[kosten / jaar weekend]]+Ruimtestaat[[#This Row],[kosten / jaar werkdagen]]</f>
        <v>0</v>
      </c>
    </row>
    <row r="281" spans="1:33" ht="15" customHeight="1">
      <c r="A281" s="187">
        <v>4</v>
      </c>
      <c r="B281" s="21" t="str">
        <f>VLOOKUP(Ruimtestaat[[#This Row],[Code]],Locaties[#All],2,FALSE)</f>
        <v xml:space="preserve">Lyceumstraat </v>
      </c>
      <c r="C281" s="247" t="str">
        <f>VLOOKUP(Ruimtestaat[[#This Row],[Code]],Locaties[#All],4,FALSE)</f>
        <v>Lyceumstraat 36</v>
      </c>
      <c r="D281" s="247" t="str">
        <f>VLOOKUP(Ruimtestaat[[#This Row],[Code]],Locaties[#All],5,FALSE)</f>
        <v>7572 CR</v>
      </c>
      <c r="E281" s="187" t="str">
        <f>VLOOKUP(Ruimtestaat[[#This Row],[Code]],Locaties[#All],6,FALSE)</f>
        <v>Oldenzaal</v>
      </c>
      <c r="F281" s="248"/>
      <c r="G281" s="246">
        <v>1</v>
      </c>
      <c r="H281" s="246" t="s">
        <v>940</v>
      </c>
      <c r="I281" s="248" t="s">
        <v>756</v>
      </c>
      <c r="J281" s="187">
        <v>16</v>
      </c>
      <c r="K281" s="187" t="str">
        <f>VLOOKUP(Ruimtestaat[[#This Row],[Ruimte code]],Ruimtegroepen[#All],2,FALSE)</f>
        <v>Leslokalen/computerlokaal</v>
      </c>
      <c r="L281" s="247" t="s">
        <v>677</v>
      </c>
      <c r="M281" s="246" t="s">
        <v>1200</v>
      </c>
      <c r="N281" s="200">
        <v>59</v>
      </c>
      <c r="O281" s="200"/>
      <c r="P281" s="231" t="str">
        <f>VLOOKUP(Ruimtestaat[[#This Row],[Ruimte code]],Ruimtegroepen[#All],4,FALSE)</f>
        <v>L  (Lesruimte)</v>
      </c>
      <c r="Q281" s="201"/>
      <c r="R281" s="202">
        <v>42</v>
      </c>
      <c r="S281" s="202" t="s">
        <v>2</v>
      </c>
      <c r="T281" s="202">
        <f>IF(R281&gt;0,IF(RIGHT(Ruimtestaat[[#This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81" s="202">
        <f>IF(T281&gt;0,VLOOKUP($J281,Ruimtegroepen[],3,FALSE)*VLOOKUP($L281,Vloersoorten[],3,FALSE)*VLOOKUP($S281,Frequenties[],3,FALSE)*VLOOKUP($A281,Locaties[],3,FALSE),0)</f>
        <v>0</v>
      </c>
      <c r="V281" s="202">
        <f>Ruimtestaat[[#This Row],[Uitvoeringen werkdagen]]*Ruimtestaat[[#This Row],[Oppervlak (netto)]]</f>
        <v>12390</v>
      </c>
      <c r="W281" s="242">
        <f>IF(U281&gt;0,Ruimtestaat[[#This Row],[Prest. (m2 /jaar) werkdagen]]/Ruimtestaat[[#This Row],[Norm (m2/uur) werkdagen]],0)</f>
        <v>0</v>
      </c>
      <c r="X281" s="243">
        <f>Ruimtestaat[[#This Row],[uren / jaar werkdagen]]*Tariefsopbouw!$D$38</f>
        <v>0</v>
      </c>
      <c r="Y281" s="33"/>
      <c r="Z281" s="33">
        <f>IF(Ruimtestaat[[#This Row],[Frequentie weekend]]&gt;0,VALUE(LEFT(Y281,1))*R281,0)</f>
        <v>0</v>
      </c>
      <c r="AA281" s="33">
        <f>IF($Z281&gt;0,VLOOKUP($J281,Ruimtegroepen[],3,FALSE)*VLOOKUP($L281,Vloersoorten[],3,FALSE)*VLOOKUP($Y281,Frequenties[],3,FALSE)*VLOOKUP(#REF!,Locaties[],3,FALSE),0)</f>
        <v>0</v>
      </c>
      <c r="AB281" s="33"/>
      <c r="AC281" s="33"/>
      <c r="AD281" s="33">
        <f>Ruimtestaat[[#This Row],[uren / jaar weekend]]*Tariefsopbouw!$D$40</f>
        <v>0</v>
      </c>
      <c r="AE281" s="86">
        <f>Ruimtestaat[[#This Row],[Prest. (m2 /jaar) weekend]]+Ruimtestaat[[#This Row],[Prest. (m2 /jaar) werkdagen]]</f>
        <v>12390</v>
      </c>
      <c r="AF281" s="86">
        <f>Ruimtestaat[[#This Row],[uren / jaar weekend]]+Ruimtestaat[[#This Row],[uren / jaar werkdagen]]</f>
        <v>0</v>
      </c>
      <c r="AG281" s="87">
        <f>Ruimtestaat[[#This Row],[kosten / jaar weekend]]+Ruimtestaat[[#This Row],[kosten / jaar werkdagen]]</f>
        <v>0</v>
      </c>
    </row>
    <row r="282" spans="1:33" ht="15" customHeight="1">
      <c r="A282" s="187">
        <v>4</v>
      </c>
      <c r="B282" s="21" t="str">
        <f>VLOOKUP(Ruimtestaat[[#This Row],[Code]],Locaties[#All],2,FALSE)</f>
        <v xml:space="preserve">Lyceumstraat </v>
      </c>
      <c r="C282" s="247" t="str">
        <f>VLOOKUP(Ruimtestaat[[#This Row],[Code]],Locaties[#All],4,FALSE)</f>
        <v>Lyceumstraat 36</v>
      </c>
      <c r="D282" s="247" t="str">
        <f>VLOOKUP(Ruimtestaat[[#This Row],[Code]],Locaties[#All],5,FALSE)</f>
        <v>7572 CR</v>
      </c>
      <c r="E282" s="187" t="str">
        <f>VLOOKUP(Ruimtestaat[[#This Row],[Code]],Locaties[#All],6,FALSE)</f>
        <v>Oldenzaal</v>
      </c>
      <c r="F282" s="248"/>
      <c r="G282" s="246">
        <v>1</v>
      </c>
      <c r="H282" s="246" t="s">
        <v>941</v>
      </c>
      <c r="I282" s="248" t="s">
        <v>630</v>
      </c>
      <c r="J282" s="187">
        <v>2</v>
      </c>
      <c r="K282" s="187" t="str">
        <f>VLOOKUP(Ruimtestaat[[#This Row],[Ruimte code]],Ruimtegroepen[#All],2,FALSE)</f>
        <v>Kantoren/kantoortuin</v>
      </c>
      <c r="L282" s="247" t="s">
        <v>1204</v>
      </c>
      <c r="M282" s="246" t="s">
        <v>1205</v>
      </c>
      <c r="N282" s="200">
        <v>44</v>
      </c>
      <c r="O282" s="200"/>
      <c r="P282" s="231" t="str">
        <f>VLOOKUP(Ruimtestaat[[#This Row],[Ruimte code]],Ruimtegroepen[#All],4,FALSE)</f>
        <v>B  (Bureauruimte)</v>
      </c>
      <c r="Q282" s="201"/>
      <c r="R282" s="202">
        <v>42</v>
      </c>
      <c r="S282" s="202" t="s">
        <v>2</v>
      </c>
      <c r="T282" s="202">
        <f>IF(R282&gt;0,IF(RIGHT(Ruimtestaat[[#This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82" s="202">
        <f>IF(T282&gt;0,VLOOKUP($J282,Ruimtegroepen[],3,FALSE)*VLOOKUP($L282,Vloersoorten[],3,FALSE)*VLOOKUP($S282,Frequenties[],3,FALSE)*VLOOKUP($A282,Locaties[],3,FALSE),0)</f>
        <v>0</v>
      </c>
      <c r="V282" s="202">
        <f>Ruimtestaat[[#This Row],[Uitvoeringen werkdagen]]*Ruimtestaat[[#This Row],[Oppervlak (netto)]]</f>
        <v>9240</v>
      </c>
      <c r="W282" s="242">
        <f>IF(U282&gt;0,Ruimtestaat[[#This Row],[Prest. (m2 /jaar) werkdagen]]/Ruimtestaat[[#This Row],[Norm (m2/uur) werkdagen]],0)</f>
        <v>0</v>
      </c>
      <c r="X282" s="243">
        <f>Ruimtestaat[[#This Row],[uren / jaar werkdagen]]*Tariefsopbouw!$D$38</f>
        <v>0</v>
      </c>
      <c r="Y282" s="33"/>
      <c r="Z282" s="33">
        <f>IF(Ruimtestaat[[#This Row],[Frequentie weekend]]&gt;0,VALUE(LEFT(Y282,1))*R282,0)</f>
        <v>0</v>
      </c>
      <c r="AA282" s="33">
        <f>IF($Z282&gt;0,VLOOKUP($J282,Ruimtegroepen[],3,FALSE)*VLOOKUP($L282,Vloersoorten[],3,FALSE)*VLOOKUP($Y282,Frequenties[],3,FALSE)*VLOOKUP(#REF!,Locaties[],3,FALSE),0)</f>
        <v>0</v>
      </c>
      <c r="AB282" s="33"/>
      <c r="AC282" s="33"/>
      <c r="AD282" s="33">
        <f>Ruimtestaat[[#This Row],[uren / jaar weekend]]*Tariefsopbouw!$D$40</f>
        <v>0</v>
      </c>
      <c r="AE282" s="86">
        <f>Ruimtestaat[[#This Row],[Prest. (m2 /jaar) weekend]]+Ruimtestaat[[#This Row],[Prest. (m2 /jaar) werkdagen]]</f>
        <v>9240</v>
      </c>
      <c r="AF282" s="86">
        <f>Ruimtestaat[[#This Row],[uren / jaar weekend]]+Ruimtestaat[[#This Row],[uren / jaar werkdagen]]</f>
        <v>0</v>
      </c>
      <c r="AG282" s="87">
        <f>Ruimtestaat[[#This Row],[kosten / jaar weekend]]+Ruimtestaat[[#This Row],[kosten / jaar werkdagen]]</f>
        <v>0</v>
      </c>
    </row>
    <row r="283" spans="1:33" ht="15" customHeight="1">
      <c r="A283" s="187">
        <v>4</v>
      </c>
      <c r="B283" s="21" t="str">
        <f>VLOOKUP(Ruimtestaat[[#This Row],[Code]],Locaties[#All],2,FALSE)</f>
        <v xml:space="preserve">Lyceumstraat </v>
      </c>
      <c r="C283" s="247" t="str">
        <f>VLOOKUP(Ruimtestaat[[#This Row],[Code]],Locaties[#All],4,FALSE)</f>
        <v>Lyceumstraat 36</v>
      </c>
      <c r="D283" s="247" t="str">
        <f>VLOOKUP(Ruimtestaat[[#This Row],[Code]],Locaties[#All],5,FALSE)</f>
        <v>7572 CR</v>
      </c>
      <c r="E283" s="187" t="str">
        <f>VLOOKUP(Ruimtestaat[[#This Row],[Code]],Locaties[#All],6,FALSE)</f>
        <v>Oldenzaal</v>
      </c>
      <c r="F283" s="248"/>
      <c r="G283" s="246">
        <v>1</v>
      </c>
      <c r="H283" s="246" t="s">
        <v>942</v>
      </c>
      <c r="I283" s="248" t="s">
        <v>756</v>
      </c>
      <c r="J283" s="187">
        <v>16</v>
      </c>
      <c r="K283" s="187" t="str">
        <f>VLOOKUP(Ruimtestaat[[#This Row],[Ruimte code]],Ruimtegroepen[#All],2,FALSE)</f>
        <v>Leslokalen/computerlokaal</v>
      </c>
      <c r="L283" s="247" t="s">
        <v>677</v>
      </c>
      <c r="M283" s="246" t="s">
        <v>1200</v>
      </c>
      <c r="N283" s="200">
        <v>47</v>
      </c>
      <c r="O283" s="200"/>
      <c r="P283" s="231" t="str">
        <f>VLOOKUP(Ruimtestaat[[#This Row],[Ruimte code]],Ruimtegroepen[#All],4,FALSE)</f>
        <v>L  (Lesruimte)</v>
      </c>
      <c r="Q283" s="201"/>
      <c r="R283" s="202">
        <v>42</v>
      </c>
      <c r="S283" s="202" t="s">
        <v>2</v>
      </c>
      <c r="T283" s="202">
        <f>IF(R283&gt;0,IF(RIGHT(Ruimtestaat[[#This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83" s="202">
        <f>IF(T283&gt;0,VLOOKUP($J283,Ruimtegroepen[],3,FALSE)*VLOOKUP($L283,Vloersoorten[],3,FALSE)*VLOOKUP($S283,Frequenties[],3,FALSE)*VLOOKUP($A283,Locaties[],3,FALSE),0)</f>
        <v>0</v>
      </c>
      <c r="V283" s="202">
        <f>Ruimtestaat[[#This Row],[Uitvoeringen werkdagen]]*Ruimtestaat[[#This Row],[Oppervlak (netto)]]</f>
        <v>9870</v>
      </c>
      <c r="W283" s="242">
        <f>IF(U283&gt;0,Ruimtestaat[[#This Row],[Prest. (m2 /jaar) werkdagen]]/Ruimtestaat[[#This Row],[Norm (m2/uur) werkdagen]],0)</f>
        <v>0</v>
      </c>
      <c r="X283" s="243">
        <f>Ruimtestaat[[#This Row],[uren / jaar werkdagen]]*Tariefsopbouw!$D$38</f>
        <v>0</v>
      </c>
      <c r="Y283" s="33"/>
      <c r="Z283" s="33">
        <f>IF(Ruimtestaat[[#This Row],[Frequentie weekend]]&gt;0,VALUE(LEFT(Y283,1))*R283,0)</f>
        <v>0</v>
      </c>
      <c r="AA283" s="33">
        <f>IF($Z283&gt;0,VLOOKUP($J283,Ruimtegroepen[],3,FALSE)*VLOOKUP($L283,Vloersoorten[],3,FALSE)*VLOOKUP($Y283,Frequenties[],3,FALSE)*VLOOKUP(#REF!,Locaties[],3,FALSE),0)</f>
        <v>0</v>
      </c>
      <c r="AB283" s="33"/>
      <c r="AC283" s="33"/>
      <c r="AD283" s="33">
        <f>Ruimtestaat[[#This Row],[uren / jaar weekend]]*Tariefsopbouw!$D$40</f>
        <v>0</v>
      </c>
      <c r="AE283" s="86">
        <f>Ruimtestaat[[#This Row],[Prest. (m2 /jaar) weekend]]+Ruimtestaat[[#This Row],[Prest. (m2 /jaar) werkdagen]]</f>
        <v>9870</v>
      </c>
      <c r="AF283" s="86">
        <f>Ruimtestaat[[#This Row],[uren / jaar weekend]]+Ruimtestaat[[#This Row],[uren / jaar werkdagen]]</f>
        <v>0</v>
      </c>
      <c r="AG283" s="87">
        <f>Ruimtestaat[[#This Row],[kosten / jaar weekend]]+Ruimtestaat[[#This Row],[kosten / jaar werkdagen]]</f>
        <v>0</v>
      </c>
    </row>
    <row r="284" spans="1:33" ht="15" customHeight="1">
      <c r="A284" s="187">
        <v>4</v>
      </c>
      <c r="B284" s="21" t="str">
        <f>VLOOKUP(Ruimtestaat[[#This Row],[Code]],Locaties[#All],2,FALSE)</f>
        <v xml:space="preserve">Lyceumstraat </v>
      </c>
      <c r="C284" s="247" t="str">
        <f>VLOOKUP(Ruimtestaat[[#This Row],[Code]],Locaties[#All],4,FALSE)</f>
        <v>Lyceumstraat 36</v>
      </c>
      <c r="D284" s="247" t="str">
        <f>VLOOKUP(Ruimtestaat[[#This Row],[Code]],Locaties[#All],5,FALSE)</f>
        <v>7572 CR</v>
      </c>
      <c r="E284" s="187" t="str">
        <f>VLOOKUP(Ruimtestaat[[#This Row],[Code]],Locaties[#All],6,FALSE)</f>
        <v>Oldenzaal</v>
      </c>
      <c r="F284" s="248"/>
      <c r="G284" s="246">
        <v>1</v>
      </c>
      <c r="H284" s="246" t="s">
        <v>943</v>
      </c>
      <c r="I284" s="248" t="s">
        <v>465</v>
      </c>
      <c r="J284" s="187">
        <v>16</v>
      </c>
      <c r="K284" s="187" t="str">
        <f>VLOOKUP(Ruimtestaat[[#This Row],[Ruimte code]],Ruimtegroepen[#All],2,FALSE)</f>
        <v>Leslokalen/computerlokaal</v>
      </c>
      <c r="L284" s="247" t="s">
        <v>677</v>
      </c>
      <c r="M284" s="246" t="s">
        <v>1200</v>
      </c>
      <c r="N284" s="200">
        <v>57</v>
      </c>
      <c r="O284" s="200"/>
      <c r="P284" s="231" t="str">
        <f>VLOOKUP(Ruimtestaat[[#This Row],[Ruimte code]],Ruimtegroepen[#All],4,FALSE)</f>
        <v>L  (Lesruimte)</v>
      </c>
      <c r="Q284" s="201"/>
      <c r="R284" s="202">
        <v>42</v>
      </c>
      <c r="S284" s="202" t="s">
        <v>2</v>
      </c>
      <c r="T284" s="202">
        <f>IF(R284&gt;0,IF(RIGHT(Ruimtestaat[[#This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84" s="202">
        <f>IF(T284&gt;0,VLOOKUP($J284,Ruimtegroepen[],3,FALSE)*VLOOKUP($L284,Vloersoorten[],3,FALSE)*VLOOKUP($S284,Frequenties[],3,FALSE)*VLOOKUP($A284,Locaties[],3,FALSE),0)</f>
        <v>0</v>
      </c>
      <c r="V284" s="202">
        <f>Ruimtestaat[[#This Row],[Uitvoeringen werkdagen]]*Ruimtestaat[[#This Row],[Oppervlak (netto)]]</f>
        <v>11970</v>
      </c>
      <c r="W284" s="242">
        <f>IF(U284&gt;0,Ruimtestaat[[#This Row],[Prest. (m2 /jaar) werkdagen]]/Ruimtestaat[[#This Row],[Norm (m2/uur) werkdagen]],0)</f>
        <v>0</v>
      </c>
      <c r="X284" s="243">
        <f>Ruimtestaat[[#This Row],[uren / jaar werkdagen]]*Tariefsopbouw!$D$38</f>
        <v>0</v>
      </c>
      <c r="Y284" s="33"/>
      <c r="Z284" s="33">
        <f>IF(Ruimtestaat[[#This Row],[Frequentie weekend]]&gt;0,VALUE(LEFT(Y284,1))*R284,0)</f>
        <v>0</v>
      </c>
      <c r="AA284" s="33">
        <f>IF($Z284&gt;0,VLOOKUP($J284,Ruimtegroepen[],3,FALSE)*VLOOKUP($L284,Vloersoorten[],3,FALSE)*VLOOKUP($Y284,Frequenties[],3,FALSE)*VLOOKUP(#REF!,Locaties[],3,FALSE),0)</f>
        <v>0</v>
      </c>
      <c r="AB284" s="33"/>
      <c r="AC284" s="33"/>
      <c r="AD284" s="33">
        <f>Ruimtestaat[[#This Row],[uren / jaar weekend]]*Tariefsopbouw!$D$40</f>
        <v>0</v>
      </c>
      <c r="AE284" s="86">
        <f>Ruimtestaat[[#This Row],[Prest. (m2 /jaar) weekend]]+Ruimtestaat[[#This Row],[Prest. (m2 /jaar) werkdagen]]</f>
        <v>11970</v>
      </c>
      <c r="AF284" s="86">
        <f>Ruimtestaat[[#This Row],[uren / jaar weekend]]+Ruimtestaat[[#This Row],[uren / jaar werkdagen]]</f>
        <v>0</v>
      </c>
      <c r="AG284" s="87">
        <f>Ruimtestaat[[#This Row],[kosten / jaar weekend]]+Ruimtestaat[[#This Row],[kosten / jaar werkdagen]]</f>
        <v>0</v>
      </c>
    </row>
    <row r="285" spans="1:33" ht="15" customHeight="1">
      <c r="A285" s="187">
        <v>4</v>
      </c>
      <c r="B285" s="21" t="str">
        <f>VLOOKUP(Ruimtestaat[[#This Row],[Code]],Locaties[#All],2,FALSE)</f>
        <v xml:space="preserve">Lyceumstraat </v>
      </c>
      <c r="C285" s="247" t="str">
        <f>VLOOKUP(Ruimtestaat[[#This Row],[Code]],Locaties[#All],4,FALSE)</f>
        <v>Lyceumstraat 36</v>
      </c>
      <c r="D285" s="247" t="str">
        <f>VLOOKUP(Ruimtestaat[[#This Row],[Code]],Locaties[#All],5,FALSE)</f>
        <v>7572 CR</v>
      </c>
      <c r="E285" s="187" t="str">
        <f>VLOOKUP(Ruimtestaat[[#This Row],[Code]],Locaties[#All],6,FALSE)</f>
        <v>Oldenzaal</v>
      </c>
      <c r="F285" s="248"/>
      <c r="G285" s="246">
        <v>1</v>
      </c>
      <c r="H285" s="246" t="s">
        <v>944</v>
      </c>
      <c r="I285" s="248" t="s">
        <v>590</v>
      </c>
      <c r="J285" s="187">
        <v>2</v>
      </c>
      <c r="K285" s="187" t="str">
        <f>VLOOKUP(Ruimtestaat[[#This Row],[Ruimte code]],Ruimtegroepen[#All],2,FALSE)</f>
        <v>Kantoren/kantoortuin</v>
      </c>
      <c r="L285" s="247" t="s">
        <v>1204</v>
      </c>
      <c r="M285" s="246" t="s">
        <v>1205</v>
      </c>
      <c r="N285" s="200">
        <v>22</v>
      </c>
      <c r="O285" s="200"/>
      <c r="P285" s="231" t="str">
        <f>VLOOKUP(Ruimtestaat[[#This Row],[Ruimte code]],Ruimtegroepen[#All],4,FALSE)</f>
        <v>B  (Bureauruimte)</v>
      </c>
      <c r="Q285" s="201"/>
      <c r="R285" s="202">
        <v>42</v>
      </c>
      <c r="S285" s="202" t="s">
        <v>2</v>
      </c>
      <c r="T285" s="202">
        <f>IF(R285&gt;0,IF(RIGHT(Ruimtestaat[[#This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85" s="202">
        <f>IF(T285&gt;0,VLOOKUP($J285,Ruimtegroepen[],3,FALSE)*VLOOKUP($L285,Vloersoorten[],3,FALSE)*VLOOKUP($S285,Frequenties[],3,FALSE)*VLOOKUP($A285,Locaties[],3,FALSE),0)</f>
        <v>0</v>
      </c>
      <c r="V285" s="202">
        <f>Ruimtestaat[[#This Row],[Uitvoeringen werkdagen]]*Ruimtestaat[[#This Row],[Oppervlak (netto)]]</f>
        <v>4620</v>
      </c>
      <c r="W285" s="242">
        <f>IF(U285&gt;0,Ruimtestaat[[#This Row],[Prest. (m2 /jaar) werkdagen]]/Ruimtestaat[[#This Row],[Norm (m2/uur) werkdagen]],0)</f>
        <v>0</v>
      </c>
      <c r="X285" s="243">
        <f>Ruimtestaat[[#This Row],[uren / jaar werkdagen]]*Tariefsopbouw!$D$38</f>
        <v>0</v>
      </c>
      <c r="Y285" s="33"/>
      <c r="Z285" s="33">
        <f>IF(Ruimtestaat[[#This Row],[Frequentie weekend]]&gt;0,VALUE(LEFT(Y285,1))*R285,0)</f>
        <v>0</v>
      </c>
      <c r="AA285" s="33">
        <f>IF($Z285&gt;0,VLOOKUP($J285,Ruimtegroepen[],3,FALSE)*VLOOKUP($L285,Vloersoorten[],3,FALSE)*VLOOKUP($Y285,Frequenties[],3,FALSE)*VLOOKUP(#REF!,Locaties[],3,FALSE),0)</f>
        <v>0</v>
      </c>
      <c r="AB285" s="33"/>
      <c r="AC285" s="33"/>
      <c r="AD285" s="33">
        <f>Ruimtestaat[[#This Row],[uren / jaar weekend]]*Tariefsopbouw!$D$40</f>
        <v>0</v>
      </c>
      <c r="AE285" s="86">
        <f>Ruimtestaat[[#This Row],[Prest. (m2 /jaar) weekend]]+Ruimtestaat[[#This Row],[Prest. (m2 /jaar) werkdagen]]</f>
        <v>4620</v>
      </c>
      <c r="AF285" s="86">
        <f>Ruimtestaat[[#This Row],[uren / jaar weekend]]+Ruimtestaat[[#This Row],[uren / jaar werkdagen]]</f>
        <v>0</v>
      </c>
      <c r="AG285" s="87">
        <f>Ruimtestaat[[#This Row],[kosten / jaar weekend]]+Ruimtestaat[[#This Row],[kosten / jaar werkdagen]]</f>
        <v>0</v>
      </c>
    </row>
    <row r="286" spans="1:33" ht="15" customHeight="1">
      <c r="A286" s="187">
        <v>4</v>
      </c>
      <c r="B286" s="21" t="str">
        <f>VLOOKUP(Ruimtestaat[[#This Row],[Code]],Locaties[#All],2,FALSE)</f>
        <v xml:space="preserve">Lyceumstraat </v>
      </c>
      <c r="C286" s="247" t="str">
        <f>VLOOKUP(Ruimtestaat[[#This Row],[Code]],Locaties[#All],4,FALSE)</f>
        <v>Lyceumstraat 36</v>
      </c>
      <c r="D286" s="247" t="str">
        <f>VLOOKUP(Ruimtestaat[[#This Row],[Code]],Locaties[#All],5,FALSE)</f>
        <v>7572 CR</v>
      </c>
      <c r="E286" s="187" t="str">
        <f>VLOOKUP(Ruimtestaat[[#This Row],[Code]],Locaties[#All],6,FALSE)</f>
        <v>Oldenzaal</v>
      </c>
      <c r="F286" s="248"/>
      <c r="G286" s="246">
        <v>1</v>
      </c>
      <c r="H286" s="246" t="s">
        <v>945</v>
      </c>
      <c r="I286" s="248" t="s">
        <v>465</v>
      </c>
      <c r="J286" s="187">
        <v>16</v>
      </c>
      <c r="K286" s="187" t="str">
        <f>VLOOKUP(Ruimtestaat[[#This Row],[Ruimte code]],Ruimtegroepen[#All],2,FALSE)</f>
        <v>Leslokalen/computerlokaal</v>
      </c>
      <c r="L286" s="247" t="s">
        <v>677</v>
      </c>
      <c r="M286" s="246" t="s">
        <v>1200</v>
      </c>
      <c r="N286" s="200">
        <v>57</v>
      </c>
      <c r="O286" s="200"/>
      <c r="P286" s="231" t="str">
        <f>VLOOKUP(Ruimtestaat[[#This Row],[Ruimte code]],Ruimtegroepen[#All],4,FALSE)</f>
        <v>L  (Lesruimte)</v>
      </c>
      <c r="Q286" s="201"/>
      <c r="R286" s="202">
        <v>42</v>
      </c>
      <c r="S286" s="202" t="s">
        <v>2</v>
      </c>
      <c r="T286" s="202">
        <f>IF(R286&gt;0,IF(RIGHT(Ruimtestaat[[#This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86" s="202">
        <f>IF(T286&gt;0,VLOOKUP($J286,Ruimtegroepen[],3,FALSE)*VLOOKUP($L286,Vloersoorten[],3,FALSE)*VLOOKUP($S286,Frequenties[],3,FALSE)*VLOOKUP($A286,Locaties[],3,FALSE),0)</f>
        <v>0</v>
      </c>
      <c r="V286" s="202">
        <f>Ruimtestaat[[#This Row],[Uitvoeringen werkdagen]]*Ruimtestaat[[#This Row],[Oppervlak (netto)]]</f>
        <v>11970</v>
      </c>
      <c r="W286" s="242">
        <f>IF(U286&gt;0,Ruimtestaat[[#This Row],[Prest. (m2 /jaar) werkdagen]]/Ruimtestaat[[#This Row],[Norm (m2/uur) werkdagen]],0)</f>
        <v>0</v>
      </c>
      <c r="X286" s="243">
        <f>Ruimtestaat[[#This Row],[uren / jaar werkdagen]]*Tariefsopbouw!$D$38</f>
        <v>0</v>
      </c>
      <c r="Y286" s="33"/>
      <c r="Z286" s="33">
        <f>IF(Ruimtestaat[[#This Row],[Frequentie weekend]]&gt;0,VALUE(LEFT(Y286,1))*R286,0)</f>
        <v>0</v>
      </c>
      <c r="AA286" s="33">
        <f>IF($Z286&gt;0,VLOOKUP($J286,Ruimtegroepen[],3,FALSE)*VLOOKUP($L286,Vloersoorten[],3,FALSE)*VLOOKUP($Y286,Frequenties[],3,FALSE)*VLOOKUP(#REF!,Locaties[],3,FALSE),0)</f>
        <v>0</v>
      </c>
      <c r="AB286" s="33"/>
      <c r="AC286" s="33"/>
      <c r="AD286" s="33">
        <f>Ruimtestaat[[#This Row],[uren / jaar weekend]]*Tariefsopbouw!$D$40</f>
        <v>0</v>
      </c>
      <c r="AE286" s="86">
        <f>Ruimtestaat[[#This Row],[Prest. (m2 /jaar) weekend]]+Ruimtestaat[[#This Row],[Prest. (m2 /jaar) werkdagen]]</f>
        <v>11970</v>
      </c>
      <c r="AF286" s="86">
        <f>Ruimtestaat[[#This Row],[uren / jaar weekend]]+Ruimtestaat[[#This Row],[uren / jaar werkdagen]]</f>
        <v>0</v>
      </c>
      <c r="AG286" s="87">
        <f>Ruimtestaat[[#This Row],[kosten / jaar weekend]]+Ruimtestaat[[#This Row],[kosten / jaar werkdagen]]</f>
        <v>0</v>
      </c>
    </row>
    <row r="287" spans="1:33" ht="15" customHeight="1">
      <c r="A287" s="187">
        <v>4</v>
      </c>
      <c r="B287" s="21" t="str">
        <f>VLOOKUP(Ruimtestaat[[#This Row],[Code]],Locaties[#All],2,FALSE)</f>
        <v xml:space="preserve">Lyceumstraat </v>
      </c>
      <c r="C287" s="247" t="str">
        <f>VLOOKUP(Ruimtestaat[[#This Row],[Code]],Locaties[#All],4,FALSE)</f>
        <v>Lyceumstraat 36</v>
      </c>
      <c r="D287" s="247" t="str">
        <f>VLOOKUP(Ruimtestaat[[#This Row],[Code]],Locaties[#All],5,FALSE)</f>
        <v>7572 CR</v>
      </c>
      <c r="E287" s="187" t="str">
        <f>VLOOKUP(Ruimtestaat[[#This Row],[Code]],Locaties[#All],6,FALSE)</f>
        <v>Oldenzaal</v>
      </c>
      <c r="F287" s="248"/>
      <c r="G287" s="246">
        <v>1</v>
      </c>
      <c r="H287" s="246" t="s">
        <v>946</v>
      </c>
      <c r="I287" s="248" t="s">
        <v>756</v>
      </c>
      <c r="J287" s="187">
        <v>16</v>
      </c>
      <c r="K287" s="187" t="str">
        <f>VLOOKUP(Ruimtestaat[[#This Row],[Ruimte code]],Ruimtegroepen[#All],2,FALSE)</f>
        <v>Leslokalen/computerlokaal</v>
      </c>
      <c r="L287" s="247" t="s">
        <v>677</v>
      </c>
      <c r="M287" s="246" t="s">
        <v>1200</v>
      </c>
      <c r="N287" s="200">
        <v>45</v>
      </c>
      <c r="O287" s="200"/>
      <c r="P287" s="231" t="str">
        <f>VLOOKUP(Ruimtestaat[[#This Row],[Ruimte code]],Ruimtegroepen[#All],4,FALSE)</f>
        <v>L  (Lesruimte)</v>
      </c>
      <c r="Q287" s="201"/>
      <c r="R287" s="202">
        <v>42</v>
      </c>
      <c r="S287" s="202" t="s">
        <v>2</v>
      </c>
      <c r="T287" s="202">
        <f>IF(R287&gt;0,IF(RIGHT(Ruimtestaat[[#This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87" s="202">
        <f>IF(T287&gt;0,VLOOKUP($J287,Ruimtegroepen[],3,FALSE)*VLOOKUP($L287,Vloersoorten[],3,FALSE)*VLOOKUP($S287,Frequenties[],3,FALSE)*VLOOKUP($A287,Locaties[],3,FALSE),0)</f>
        <v>0</v>
      </c>
      <c r="V287" s="202">
        <f>Ruimtestaat[[#This Row],[Uitvoeringen werkdagen]]*Ruimtestaat[[#This Row],[Oppervlak (netto)]]</f>
        <v>9450</v>
      </c>
      <c r="W287" s="242">
        <f>IF(U287&gt;0,Ruimtestaat[[#This Row],[Prest. (m2 /jaar) werkdagen]]/Ruimtestaat[[#This Row],[Norm (m2/uur) werkdagen]],0)</f>
        <v>0</v>
      </c>
      <c r="X287" s="243">
        <f>Ruimtestaat[[#This Row],[uren / jaar werkdagen]]*Tariefsopbouw!$D$38</f>
        <v>0</v>
      </c>
      <c r="Y287" s="33"/>
      <c r="Z287" s="33">
        <f>IF(Ruimtestaat[[#This Row],[Frequentie weekend]]&gt;0,VALUE(LEFT(Y287,1))*R287,0)</f>
        <v>0</v>
      </c>
      <c r="AA287" s="33">
        <f>IF($Z287&gt;0,VLOOKUP($J287,Ruimtegroepen[],3,FALSE)*VLOOKUP($L287,Vloersoorten[],3,FALSE)*VLOOKUP($Y287,Frequenties[],3,FALSE)*VLOOKUP(#REF!,Locaties[],3,FALSE),0)</f>
        <v>0</v>
      </c>
      <c r="AB287" s="33"/>
      <c r="AC287" s="33"/>
      <c r="AD287" s="33">
        <f>Ruimtestaat[[#This Row],[uren / jaar weekend]]*Tariefsopbouw!$D$40</f>
        <v>0</v>
      </c>
      <c r="AE287" s="86">
        <f>Ruimtestaat[[#This Row],[Prest. (m2 /jaar) weekend]]+Ruimtestaat[[#This Row],[Prest. (m2 /jaar) werkdagen]]</f>
        <v>9450</v>
      </c>
      <c r="AF287" s="86">
        <f>Ruimtestaat[[#This Row],[uren / jaar weekend]]+Ruimtestaat[[#This Row],[uren / jaar werkdagen]]</f>
        <v>0</v>
      </c>
      <c r="AG287" s="87">
        <f>Ruimtestaat[[#This Row],[kosten / jaar weekend]]+Ruimtestaat[[#This Row],[kosten / jaar werkdagen]]</f>
        <v>0</v>
      </c>
    </row>
    <row r="288" spans="1:33" ht="15" customHeight="1">
      <c r="A288" s="187">
        <v>4</v>
      </c>
      <c r="B288" s="21" t="str">
        <f>VLOOKUP(Ruimtestaat[[#This Row],[Code]],Locaties[#All],2,FALSE)</f>
        <v xml:space="preserve">Lyceumstraat </v>
      </c>
      <c r="C288" s="247" t="str">
        <f>VLOOKUP(Ruimtestaat[[#This Row],[Code]],Locaties[#All],4,FALSE)</f>
        <v>Lyceumstraat 36</v>
      </c>
      <c r="D288" s="247" t="str">
        <f>VLOOKUP(Ruimtestaat[[#This Row],[Code]],Locaties[#All],5,FALSE)</f>
        <v>7572 CR</v>
      </c>
      <c r="E288" s="187" t="str">
        <f>VLOOKUP(Ruimtestaat[[#This Row],[Code]],Locaties[#All],6,FALSE)</f>
        <v>Oldenzaal</v>
      </c>
      <c r="F288" s="248"/>
      <c r="G288" s="246">
        <v>1</v>
      </c>
      <c r="H288" s="246" t="s">
        <v>947</v>
      </c>
      <c r="I288" s="248" t="s">
        <v>465</v>
      </c>
      <c r="J288" s="187">
        <v>16</v>
      </c>
      <c r="K288" s="187" t="str">
        <f>VLOOKUP(Ruimtestaat[[#This Row],[Ruimte code]],Ruimtegroepen[#All],2,FALSE)</f>
        <v>Leslokalen/computerlokaal</v>
      </c>
      <c r="L288" s="247" t="s">
        <v>677</v>
      </c>
      <c r="M288" s="246" t="s">
        <v>1200</v>
      </c>
      <c r="N288" s="200">
        <v>54</v>
      </c>
      <c r="O288" s="200"/>
      <c r="P288" s="231" t="str">
        <f>VLOOKUP(Ruimtestaat[[#This Row],[Ruimte code]],Ruimtegroepen[#All],4,FALSE)</f>
        <v>L  (Lesruimte)</v>
      </c>
      <c r="Q288" s="201"/>
      <c r="R288" s="202">
        <v>42</v>
      </c>
      <c r="S288" s="202" t="s">
        <v>2</v>
      </c>
      <c r="T288" s="202">
        <f>IF(R288&gt;0,IF(RIGHT(Ruimtestaat[[#This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88" s="202">
        <f>IF(T288&gt;0,VLOOKUP($J288,Ruimtegroepen[],3,FALSE)*VLOOKUP($L288,Vloersoorten[],3,FALSE)*VLOOKUP($S288,Frequenties[],3,FALSE)*VLOOKUP($A288,Locaties[],3,FALSE),0)</f>
        <v>0</v>
      </c>
      <c r="V288" s="202">
        <f>Ruimtestaat[[#This Row],[Uitvoeringen werkdagen]]*Ruimtestaat[[#This Row],[Oppervlak (netto)]]</f>
        <v>11340</v>
      </c>
      <c r="W288" s="242">
        <f>IF(U288&gt;0,Ruimtestaat[[#This Row],[Prest. (m2 /jaar) werkdagen]]/Ruimtestaat[[#This Row],[Norm (m2/uur) werkdagen]],0)</f>
        <v>0</v>
      </c>
      <c r="X288" s="243">
        <f>Ruimtestaat[[#This Row],[uren / jaar werkdagen]]*Tariefsopbouw!$D$38</f>
        <v>0</v>
      </c>
      <c r="Y288" s="33"/>
      <c r="Z288" s="33">
        <f>IF(Ruimtestaat[[#This Row],[Frequentie weekend]]&gt;0,VALUE(LEFT(Y288,1))*R288,0)</f>
        <v>0</v>
      </c>
      <c r="AA288" s="33">
        <f>IF($Z288&gt;0,VLOOKUP($J288,Ruimtegroepen[],3,FALSE)*VLOOKUP($L288,Vloersoorten[],3,FALSE)*VLOOKUP($Y288,Frequenties[],3,FALSE)*VLOOKUP(#REF!,Locaties[],3,FALSE),0)</f>
        <v>0</v>
      </c>
      <c r="AB288" s="33"/>
      <c r="AC288" s="33"/>
      <c r="AD288" s="33">
        <f>Ruimtestaat[[#This Row],[uren / jaar weekend]]*Tariefsopbouw!$D$40</f>
        <v>0</v>
      </c>
      <c r="AE288" s="86">
        <f>Ruimtestaat[[#This Row],[Prest. (m2 /jaar) weekend]]+Ruimtestaat[[#This Row],[Prest. (m2 /jaar) werkdagen]]</f>
        <v>11340</v>
      </c>
      <c r="AF288" s="86">
        <f>Ruimtestaat[[#This Row],[uren / jaar weekend]]+Ruimtestaat[[#This Row],[uren / jaar werkdagen]]</f>
        <v>0</v>
      </c>
      <c r="AG288" s="87">
        <f>Ruimtestaat[[#This Row],[kosten / jaar weekend]]+Ruimtestaat[[#This Row],[kosten / jaar werkdagen]]</f>
        <v>0</v>
      </c>
    </row>
    <row r="289" spans="1:33" ht="15" customHeight="1">
      <c r="A289" s="187">
        <v>4</v>
      </c>
      <c r="B289" s="21" t="str">
        <f>VLOOKUP(Ruimtestaat[[#This Row],[Code]],Locaties[#All],2,FALSE)</f>
        <v xml:space="preserve">Lyceumstraat </v>
      </c>
      <c r="C289" s="247" t="str">
        <f>VLOOKUP(Ruimtestaat[[#This Row],[Code]],Locaties[#All],4,FALSE)</f>
        <v>Lyceumstraat 36</v>
      </c>
      <c r="D289" s="247" t="str">
        <f>VLOOKUP(Ruimtestaat[[#This Row],[Code]],Locaties[#All],5,FALSE)</f>
        <v>7572 CR</v>
      </c>
      <c r="E289" s="187" t="str">
        <f>VLOOKUP(Ruimtestaat[[#This Row],[Code]],Locaties[#All],6,FALSE)</f>
        <v>Oldenzaal</v>
      </c>
      <c r="F289" s="248"/>
      <c r="G289" s="246">
        <v>1</v>
      </c>
      <c r="H289" s="246" t="s">
        <v>948</v>
      </c>
      <c r="I289" s="248" t="s">
        <v>914</v>
      </c>
      <c r="J289" s="187">
        <v>2</v>
      </c>
      <c r="K289" s="187" t="str">
        <f>VLOOKUP(Ruimtestaat[[#This Row],[Ruimte code]],Ruimtegroepen[#All],2,FALSE)</f>
        <v>Kantoren/kantoortuin</v>
      </c>
      <c r="L289" s="247" t="s">
        <v>677</v>
      </c>
      <c r="M289" s="246" t="s">
        <v>1200</v>
      </c>
      <c r="N289" s="200">
        <v>24</v>
      </c>
      <c r="O289" s="200"/>
      <c r="P289" s="231" t="str">
        <f>VLOOKUP(Ruimtestaat[[#This Row],[Ruimte code]],Ruimtegroepen[#All],4,FALSE)</f>
        <v>B  (Bureauruimte)</v>
      </c>
      <c r="Q289" s="201"/>
      <c r="R289" s="202">
        <v>42</v>
      </c>
      <c r="S289" s="202" t="s">
        <v>2</v>
      </c>
      <c r="T289" s="202">
        <f>IF(R289&gt;0,IF(RIGHT(Ruimtestaat[[#This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89" s="202">
        <f>IF(T289&gt;0,VLOOKUP($J289,Ruimtegroepen[],3,FALSE)*VLOOKUP($L289,Vloersoorten[],3,FALSE)*VLOOKUP($S289,Frequenties[],3,FALSE)*VLOOKUP($A289,Locaties[],3,FALSE),0)</f>
        <v>0</v>
      </c>
      <c r="V289" s="202">
        <f>Ruimtestaat[[#This Row],[Uitvoeringen werkdagen]]*Ruimtestaat[[#This Row],[Oppervlak (netto)]]</f>
        <v>5040</v>
      </c>
      <c r="W289" s="242">
        <f>IF(U289&gt;0,Ruimtestaat[[#This Row],[Prest. (m2 /jaar) werkdagen]]/Ruimtestaat[[#This Row],[Norm (m2/uur) werkdagen]],0)</f>
        <v>0</v>
      </c>
      <c r="X289" s="243">
        <f>Ruimtestaat[[#This Row],[uren / jaar werkdagen]]*Tariefsopbouw!$D$38</f>
        <v>0</v>
      </c>
      <c r="Y289" s="33"/>
      <c r="Z289" s="33">
        <f>IF(Ruimtestaat[[#This Row],[Frequentie weekend]]&gt;0,VALUE(LEFT(Y289,1))*R289,0)</f>
        <v>0</v>
      </c>
      <c r="AA289" s="33">
        <f>IF($Z289&gt;0,VLOOKUP($J289,Ruimtegroepen[],3,FALSE)*VLOOKUP($L289,Vloersoorten[],3,FALSE)*VLOOKUP($Y289,Frequenties[],3,FALSE)*VLOOKUP(#REF!,Locaties[],3,FALSE),0)</f>
        <v>0</v>
      </c>
      <c r="AB289" s="33"/>
      <c r="AC289" s="33"/>
      <c r="AD289" s="33">
        <f>Ruimtestaat[[#This Row],[uren / jaar weekend]]*Tariefsopbouw!$D$40</f>
        <v>0</v>
      </c>
      <c r="AE289" s="86">
        <f>Ruimtestaat[[#This Row],[Prest. (m2 /jaar) weekend]]+Ruimtestaat[[#This Row],[Prest. (m2 /jaar) werkdagen]]</f>
        <v>5040</v>
      </c>
      <c r="AF289" s="86">
        <f>Ruimtestaat[[#This Row],[uren / jaar weekend]]+Ruimtestaat[[#This Row],[uren / jaar werkdagen]]</f>
        <v>0</v>
      </c>
      <c r="AG289" s="87">
        <f>Ruimtestaat[[#This Row],[kosten / jaar weekend]]+Ruimtestaat[[#This Row],[kosten / jaar werkdagen]]</f>
        <v>0</v>
      </c>
    </row>
    <row r="290" spans="1:33" ht="15" customHeight="1">
      <c r="A290" s="187">
        <v>4</v>
      </c>
      <c r="B290" s="21" t="str">
        <f>VLOOKUP(Ruimtestaat[[#This Row],[Code]],Locaties[#All],2,FALSE)</f>
        <v xml:space="preserve">Lyceumstraat </v>
      </c>
      <c r="C290" s="247" t="str">
        <f>VLOOKUP(Ruimtestaat[[#This Row],[Code]],Locaties[#All],4,FALSE)</f>
        <v>Lyceumstraat 36</v>
      </c>
      <c r="D290" s="247" t="str">
        <f>VLOOKUP(Ruimtestaat[[#This Row],[Code]],Locaties[#All],5,FALSE)</f>
        <v>7572 CR</v>
      </c>
      <c r="E290" s="187" t="str">
        <f>VLOOKUP(Ruimtestaat[[#This Row],[Code]],Locaties[#All],6,FALSE)</f>
        <v>Oldenzaal</v>
      </c>
      <c r="F290" s="248"/>
      <c r="G290" s="246">
        <v>1</v>
      </c>
      <c r="H290" s="246" t="s">
        <v>949</v>
      </c>
      <c r="I290" s="248" t="s">
        <v>465</v>
      </c>
      <c r="J290" s="187">
        <v>16</v>
      </c>
      <c r="K290" s="187" t="str">
        <f>VLOOKUP(Ruimtestaat[[#This Row],[Ruimte code]],Ruimtegroepen[#All],2,FALSE)</f>
        <v>Leslokalen/computerlokaal</v>
      </c>
      <c r="L290" s="247" t="s">
        <v>677</v>
      </c>
      <c r="M290" s="246" t="s">
        <v>1200</v>
      </c>
      <c r="N290" s="200">
        <v>54</v>
      </c>
      <c r="O290" s="200"/>
      <c r="P290" s="231" t="str">
        <f>VLOOKUP(Ruimtestaat[[#This Row],[Ruimte code]],Ruimtegroepen[#All],4,FALSE)</f>
        <v>L  (Lesruimte)</v>
      </c>
      <c r="Q290" s="201"/>
      <c r="R290" s="202">
        <v>42</v>
      </c>
      <c r="S290" s="202" t="s">
        <v>2</v>
      </c>
      <c r="T290" s="202">
        <f>IF(R290&gt;0,IF(RIGHT(Ruimtestaat[[#This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90" s="202">
        <f>IF(T290&gt;0,VLOOKUP($J290,Ruimtegroepen[],3,FALSE)*VLOOKUP($L290,Vloersoorten[],3,FALSE)*VLOOKUP($S290,Frequenties[],3,FALSE)*VLOOKUP($A290,Locaties[],3,FALSE),0)</f>
        <v>0</v>
      </c>
      <c r="V290" s="202">
        <f>Ruimtestaat[[#This Row],[Uitvoeringen werkdagen]]*Ruimtestaat[[#This Row],[Oppervlak (netto)]]</f>
        <v>11340</v>
      </c>
      <c r="W290" s="242">
        <f>IF(U290&gt;0,Ruimtestaat[[#This Row],[Prest. (m2 /jaar) werkdagen]]/Ruimtestaat[[#This Row],[Norm (m2/uur) werkdagen]],0)</f>
        <v>0</v>
      </c>
      <c r="X290" s="243">
        <f>Ruimtestaat[[#This Row],[uren / jaar werkdagen]]*Tariefsopbouw!$D$38</f>
        <v>0</v>
      </c>
      <c r="Y290" s="33"/>
      <c r="Z290" s="33">
        <f>IF(Ruimtestaat[[#This Row],[Frequentie weekend]]&gt;0,VALUE(LEFT(Y290,1))*R290,0)</f>
        <v>0</v>
      </c>
      <c r="AA290" s="33">
        <f>IF($Z290&gt;0,VLOOKUP($J290,Ruimtegroepen[],3,FALSE)*VLOOKUP($L290,Vloersoorten[],3,FALSE)*VLOOKUP($Y290,Frequenties[],3,FALSE)*VLOOKUP(#REF!,Locaties[],3,FALSE),0)</f>
        <v>0</v>
      </c>
      <c r="AB290" s="33"/>
      <c r="AC290" s="33"/>
      <c r="AD290" s="33">
        <f>Ruimtestaat[[#This Row],[uren / jaar weekend]]*Tariefsopbouw!$D$40</f>
        <v>0</v>
      </c>
      <c r="AE290" s="86">
        <f>Ruimtestaat[[#This Row],[Prest. (m2 /jaar) weekend]]+Ruimtestaat[[#This Row],[Prest. (m2 /jaar) werkdagen]]</f>
        <v>11340</v>
      </c>
      <c r="AF290" s="86">
        <f>Ruimtestaat[[#This Row],[uren / jaar weekend]]+Ruimtestaat[[#This Row],[uren / jaar werkdagen]]</f>
        <v>0</v>
      </c>
      <c r="AG290" s="87">
        <f>Ruimtestaat[[#This Row],[kosten / jaar weekend]]+Ruimtestaat[[#This Row],[kosten / jaar werkdagen]]</f>
        <v>0</v>
      </c>
    </row>
    <row r="291" spans="1:33" ht="15" customHeight="1">
      <c r="A291" s="187">
        <v>4</v>
      </c>
      <c r="B291" s="21" t="str">
        <f>VLOOKUP(Ruimtestaat[[#This Row],[Code]],Locaties[#All],2,FALSE)</f>
        <v xml:space="preserve">Lyceumstraat </v>
      </c>
      <c r="C291" s="247" t="str">
        <f>VLOOKUP(Ruimtestaat[[#This Row],[Code]],Locaties[#All],4,FALSE)</f>
        <v>Lyceumstraat 36</v>
      </c>
      <c r="D291" s="247" t="str">
        <f>VLOOKUP(Ruimtestaat[[#This Row],[Code]],Locaties[#All],5,FALSE)</f>
        <v>7572 CR</v>
      </c>
      <c r="E291" s="187" t="str">
        <f>VLOOKUP(Ruimtestaat[[#This Row],[Code]],Locaties[#All],6,FALSE)</f>
        <v>Oldenzaal</v>
      </c>
      <c r="F291" s="248"/>
      <c r="G291" s="246">
        <v>1</v>
      </c>
      <c r="H291" s="246" t="s">
        <v>950</v>
      </c>
      <c r="I291" s="248" t="s">
        <v>465</v>
      </c>
      <c r="J291" s="187">
        <v>16</v>
      </c>
      <c r="K291" s="187" t="str">
        <f>VLOOKUP(Ruimtestaat[[#This Row],[Ruimte code]],Ruimtegroepen[#All],2,FALSE)</f>
        <v>Leslokalen/computerlokaal</v>
      </c>
      <c r="L291" s="247" t="s">
        <v>677</v>
      </c>
      <c r="M291" s="246" t="s">
        <v>1200</v>
      </c>
      <c r="N291" s="200">
        <v>57</v>
      </c>
      <c r="O291" s="200"/>
      <c r="P291" s="231" t="str">
        <f>VLOOKUP(Ruimtestaat[[#This Row],[Ruimte code]],Ruimtegroepen[#All],4,FALSE)</f>
        <v>L  (Lesruimte)</v>
      </c>
      <c r="Q291" s="201"/>
      <c r="R291" s="202">
        <v>42</v>
      </c>
      <c r="S291" s="202" t="s">
        <v>2</v>
      </c>
      <c r="T291" s="202">
        <f>IF(R291&gt;0,IF(RIGHT(Ruimtestaat[[#This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91" s="202">
        <f>IF(T291&gt;0,VLOOKUP($J291,Ruimtegroepen[],3,FALSE)*VLOOKUP($L291,Vloersoorten[],3,FALSE)*VLOOKUP($S291,Frequenties[],3,FALSE)*VLOOKUP($A291,Locaties[],3,FALSE),0)</f>
        <v>0</v>
      </c>
      <c r="V291" s="202">
        <f>Ruimtestaat[[#This Row],[Uitvoeringen werkdagen]]*Ruimtestaat[[#This Row],[Oppervlak (netto)]]</f>
        <v>11970</v>
      </c>
      <c r="W291" s="242">
        <f>IF(U291&gt;0,Ruimtestaat[[#This Row],[Prest. (m2 /jaar) werkdagen]]/Ruimtestaat[[#This Row],[Norm (m2/uur) werkdagen]],0)</f>
        <v>0</v>
      </c>
      <c r="X291" s="243">
        <f>Ruimtestaat[[#This Row],[uren / jaar werkdagen]]*Tariefsopbouw!$D$38</f>
        <v>0</v>
      </c>
      <c r="Y291" s="33"/>
      <c r="Z291" s="33">
        <f>IF(Ruimtestaat[[#This Row],[Frequentie weekend]]&gt;0,VALUE(LEFT(Y291,1))*R291,0)</f>
        <v>0</v>
      </c>
      <c r="AA291" s="33">
        <f>IF($Z291&gt;0,VLOOKUP($J291,Ruimtegroepen[],3,FALSE)*VLOOKUP($L291,Vloersoorten[],3,FALSE)*VLOOKUP($Y291,Frequenties[],3,FALSE)*VLOOKUP(#REF!,Locaties[],3,FALSE),0)</f>
        <v>0</v>
      </c>
      <c r="AB291" s="33"/>
      <c r="AC291" s="33"/>
      <c r="AD291" s="33">
        <f>Ruimtestaat[[#This Row],[uren / jaar weekend]]*Tariefsopbouw!$D$40</f>
        <v>0</v>
      </c>
      <c r="AE291" s="86">
        <f>Ruimtestaat[[#This Row],[Prest. (m2 /jaar) weekend]]+Ruimtestaat[[#This Row],[Prest. (m2 /jaar) werkdagen]]</f>
        <v>11970</v>
      </c>
      <c r="AF291" s="86">
        <f>Ruimtestaat[[#This Row],[uren / jaar weekend]]+Ruimtestaat[[#This Row],[uren / jaar werkdagen]]</f>
        <v>0</v>
      </c>
      <c r="AG291" s="87">
        <f>Ruimtestaat[[#This Row],[kosten / jaar weekend]]+Ruimtestaat[[#This Row],[kosten / jaar werkdagen]]</f>
        <v>0</v>
      </c>
    </row>
    <row r="292" spans="1:33" ht="15" customHeight="1">
      <c r="A292" s="187">
        <v>4</v>
      </c>
      <c r="B292" s="21" t="str">
        <f>VLOOKUP(Ruimtestaat[[#This Row],[Code]],Locaties[#All],2,FALSE)</f>
        <v xml:space="preserve">Lyceumstraat </v>
      </c>
      <c r="C292" s="247" t="str">
        <f>VLOOKUP(Ruimtestaat[[#This Row],[Code]],Locaties[#All],4,FALSE)</f>
        <v>Lyceumstraat 36</v>
      </c>
      <c r="D292" s="247" t="str">
        <f>VLOOKUP(Ruimtestaat[[#This Row],[Code]],Locaties[#All],5,FALSE)</f>
        <v>7572 CR</v>
      </c>
      <c r="E292" s="187" t="str">
        <f>VLOOKUP(Ruimtestaat[[#This Row],[Code]],Locaties[#All],6,FALSE)</f>
        <v>Oldenzaal</v>
      </c>
      <c r="F292" s="248"/>
      <c r="G292" s="246">
        <v>1</v>
      </c>
      <c r="H292" s="246" t="s">
        <v>951</v>
      </c>
      <c r="I292" s="248" t="s">
        <v>914</v>
      </c>
      <c r="J292" s="187">
        <v>2</v>
      </c>
      <c r="K292" s="187" t="str">
        <f>VLOOKUP(Ruimtestaat[[#This Row],[Ruimte code]],Ruimtegroepen[#All],2,FALSE)</f>
        <v>Kantoren/kantoortuin</v>
      </c>
      <c r="L292" s="247" t="s">
        <v>1204</v>
      </c>
      <c r="M292" s="246" t="s">
        <v>1205</v>
      </c>
      <c r="N292" s="200">
        <v>27</v>
      </c>
      <c r="O292" s="200"/>
      <c r="P292" s="231" t="str">
        <f>VLOOKUP(Ruimtestaat[[#This Row],[Ruimte code]],Ruimtegroepen[#All],4,FALSE)</f>
        <v>B  (Bureauruimte)</v>
      </c>
      <c r="Q292" s="201"/>
      <c r="R292" s="202">
        <v>42</v>
      </c>
      <c r="S292" s="202" t="s">
        <v>2</v>
      </c>
      <c r="T292" s="202">
        <f>IF(R292&gt;0,IF(RIGHT(Ruimtestaat[[#This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92" s="202">
        <f>IF(T292&gt;0,VLOOKUP($J292,Ruimtegroepen[],3,FALSE)*VLOOKUP($L292,Vloersoorten[],3,FALSE)*VLOOKUP($S292,Frequenties[],3,FALSE)*VLOOKUP($A292,Locaties[],3,FALSE),0)</f>
        <v>0</v>
      </c>
      <c r="V292" s="202">
        <f>Ruimtestaat[[#This Row],[Uitvoeringen werkdagen]]*Ruimtestaat[[#This Row],[Oppervlak (netto)]]</f>
        <v>5670</v>
      </c>
      <c r="W292" s="242">
        <f>IF(U292&gt;0,Ruimtestaat[[#This Row],[Prest. (m2 /jaar) werkdagen]]/Ruimtestaat[[#This Row],[Norm (m2/uur) werkdagen]],0)</f>
        <v>0</v>
      </c>
      <c r="X292" s="243">
        <f>Ruimtestaat[[#This Row],[uren / jaar werkdagen]]*Tariefsopbouw!$D$38</f>
        <v>0</v>
      </c>
      <c r="Y292" s="33"/>
      <c r="Z292" s="33">
        <f>IF(Ruimtestaat[[#This Row],[Frequentie weekend]]&gt;0,VALUE(LEFT(Y292,1))*R292,0)</f>
        <v>0</v>
      </c>
      <c r="AA292" s="33">
        <f>IF($Z292&gt;0,VLOOKUP($J292,Ruimtegroepen[],3,FALSE)*VLOOKUP($L292,Vloersoorten[],3,FALSE)*VLOOKUP($Y292,Frequenties[],3,FALSE)*VLOOKUP(#REF!,Locaties[],3,FALSE),0)</f>
        <v>0</v>
      </c>
      <c r="AB292" s="33"/>
      <c r="AC292" s="33"/>
      <c r="AD292" s="33">
        <f>Ruimtestaat[[#This Row],[uren / jaar weekend]]*Tariefsopbouw!$D$40</f>
        <v>0</v>
      </c>
      <c r="AE292" s="86">
        <f>Ruimtestaat[[#This Row],[Prest. (m2 /jaar) weekend]]+Ruimtestaat[[#This Row],[Prest. (m2 /jaar) werkdagen]]</f>
        <v>5670</v>
      </c>
      <c r="AF292" s="86">
        <f>Ruimtestaat[[#This Row],[uren / jaar weekend]]+Ruimtestaat[[#This Row],[uren / jaar werkdagen]]</f>
        <v>0</v>
      </c>
      <c r="AG292" s="87">
        <f>Ruimtestaat[[#This Row],[kosten / jaar weekend]]+Ruimtestaat[[#This Row],[kosten / jaar werkdagen]]</f>
        <v>0</v>
      </c>
    </row>
    <row r="293" spans="1:33" ht="15" customHeight="1">
      <c r="A293" s="187">
        <v>4</v>
      </c>
      <c r="B293" s="21" t="str">
        <f>VLOOKUP(Ruimtestaat[[#This Row],[Code]],Locaties[#All],2,FALSE)</f>
        <v xml:space="preserve">Lyceumstraat </v>
      </c>
      <c r="C293" s="247" t="str">
        <f>VLOOKUP(Ruimtestaat[[#This Row],[Code]],Locaties[#All],4,FALSE)</f>
        <v>Lyceumstraat 36</v>
      </c>
      <c r="D293" s="247" t="str">
        <f>VLOOKUP(Ruimtestaat[[#This Row],[Code]],Locaties[#All],5,FALSE)</f>
        <v>7572 CR</v>
      </c>
      <c r="E293" s="187" t="str">
        <f>VLOOKUP(Ruimtestaat[[#This Row],[Code]],Locaties[#All],6,FALSE)</f>
        <v>Oldenzaal</v>
      </c>
      <c r="F293" s="248"/>
      <c r="G293" s="246">
        <v>1</v>
      </c>
      <c r="H293" s="246" t="s">
        <v>952</v>
      </c>
      <c r="I293" s="248" t="s">
        <v>465</v>
      </c>
      <c r="J293" s="187">
        <v>16</v>
      </c>
      <c r="K293" s="187" t="str">
        <f>VLOOKUP(Ruimtestaat[[#This Row],[Ruimte code]],Ruimtegroepen[#All],2,FALSE)</f>
        <v>Leslokalen/computerlokaal</v>
      </c>
      <c r="L293" s="247" t="s">
        <v>677</v>
      </c>
      <c r="M293" s="246" t="s">
        <v>1200</v>
      </c>
      <c r="N293" s="200">
        <v>51</v>
      </c>
      <c r="O293" s="200"/>
      <c r="P293" s="231" t="str">
        <f>VLOOKUP(Ruimtestaat[[#This Row],[Ruimte code]],Ruimtegroepen[#All],4,FALSE)</f>
        <v>L  (Lesruimte)</v>
      </c>
      <c r="Q293" s="201"/>
      <c r="R293" s="202">
        <v>42</v>
      </c>
      <c r="S293" s="202" t="s">
        <v>2</v>
      </c>
      <c r="T293" s="202">
        <f>IF(R293&gt;0,IF(RIGHT(Ruimtestaat[[#This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93" s="202">
        <f>IF(T293&gt;0,VLOOKUP($J293,Ruimtegroepen[],3,FALSE)*VLOOKUP($L293,Vloersoorten[],3,FALSE)*VLOOKUP($S293,Frequenties[],3,FALSE)*VLOOKUP($A293,Locaties[],3,FALSE),0)</f>
        <v>0</v>
      </c>
      <c r="V293" s="202">
        <f>Ruimtestaat[[#This Row],[Uitvoeringen werkdagen]]*Ruimtestaat[[#This Row],[Oppervlak (netto)]]</f>
        <v>10710</v>
      </c>
      <c r="W293" s="242">
        <f>IF(U293&gt;0,Ruimtestaat[[#This Row],[Prest. (m2 /jaar) werkdagen]]/Ruimtestaat[[#This Row],[Norm (m2/uur) werkdagen]],0)</f>
        <v>0</v>
      </c>
      <c r="X293" s="243">
        <f>Ruimtestaat[[#This Row],[uren / jaar werkdagen]]*Tariefsopbouw!$D$38</f>
        <v>0</v>
      </c>
      <c r="Y293" s="33"/>
      <c r="Z293" s="33">
        <f>IF(Ruimtestaat[[#This Row],[Frequentie weekend]]&gt;0,VALUE(LEFT(Y293,1))*R293,0)</f>
        <v>0</v>
      </c>
      <c r="AA293" s="33">
        <f>IF($Z293&gt;0,VLOOKUP($J293,Ruimtegroepen[],3,FALSE)*VLOOKUP($L293,Vloersoorten[],3,FALSE)*VLOOKUP($Y293,Frequenties[],3,FALSE)*VLOOKUP(#REF!,Locaties[],3,FALSE),0)</f>
        <v>0</v>
      </c>
      <c r="AB293" s="33"/>
      <c r="AC293" s="33"/>
      <c r="AD293" s="33">
        <f>Ruimtestaat[[#This Row],[uren / jaar weekend]]*Tariefsopbouw!$D$40</f>
        <v>0</v>
      </c>
      <c r="AE293" s="86">
        <f>Ruimtestaat[[#This Row],[Prest. (m2 /jaar) weekend]]+Ruimtestaat[[#This Row],[Prest. (m2 /jaar) werkdagen]]</f>
        <v>10710</v>
      </c>
      <c r="AF293" s="86">
        <f>Ruimtestaat[[#This Row],[uren / jaar weekend]]+Ruimtestaat[[#This Row],[uren / jaar werkdagen]]</f>
        <v>0</v>
      </c>
      <c r="AG293" s="87">
        <f>Ruimtestaat[[#This Row],[kosten / jaar weekend]]+Ruimtestaat[[#This Row],[kosten / jaar werkdagen]]</f>
        <v>0</v>
      </c>
    </row>
    <row r="294" spans="1:33" ht="15" customHeight="1">
      <c r="A294" s="187">
        <v>4</v>
      </c>
      <c r="B294" s="21" t="str">
        <f>VLOOKUP(Ruimtestaat[[#This Row],[Code]],Locaties[#All],2,FALSE)</f>
        <v xml:space="preserve">Lyceumstraat </v>
      </c>
      <c r="C294" s="247" t="str">
        <f>VLOOKUP(Ruimtestaat[[#This Row],[Code]],Locaties[#All],4,FALSE)</f>
        <v>Lyceumstraat 36</v>
      </c>
      <c r="D294" s="247" t="str">
        <f>VLOOKUP(Ruimtestaat[[#This Row],[Code]],Locaties[#All],5,FALSE)</f>
        <v>7572 CR</v>
      </c>
      <c r="E294" s="187" t="str">
        <f>VLOOKUP(Ruimtestaat[[#This Row],[Code]],Locaties[#All],6,FALSE)</f>
        <v>Oldenzaal</v>
      </c>
      <c r="F294" s="248"/>
      <c r="G294" s="246">
        <v>1</v>
      </c>
      <c r="H294" s="246" t="s">
        <v>953</v>
      </c>
      <c r="I294" s="248" t="s">
        <v>954</v>
      </c>
      <c r="J294" s="187">
        <v>9</v>
      </c>
      <c r="K294" s="187" t="str">
        <f>VLOOKUP(Ruimtestaat[[#This Row],[Ruimte code]],Ruimtegroepen[#All],2,FALSE)</f>
        <v>Bibliotheek / OLC</v>
      </c>
      <c r="L294" s="247" t="s">
        <v>1204</v>
      </c>
      <c r="M294" s="246" t="s">
        <v>1205</v>
      </c>
      <c r="N294" s="200">
        <v>285</v>
      </c>
      <c r="O294" s="200"/>
      <c r="P294" s="231" t="str">
        <f>VLOOKUP(Ruimtestaat[[#This Row],[Ruimte code]],Ruimtegroepen[#All],4,FALSE)</f>
        <v>L  (Lesruimte)</v>
      </c>
      <c r="Q294" s="201"/>
      <c r="R294" s="202">
        <v>42</v>
      </c>
      <c r="S294" s="202" t="s">
        <v>2</v>
      </c>
      <c r="T294" s="202">
        <f>IF(R294&gt;0,IF(RIGHT(Ruimtestaat[[#This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94" s="202">
        <f>IF(T294&gt;0,VLOOKUP($J294,Ruimtegroepen[],3,FALSE)*VLOOKUP($L294,Vloersoorten[],3,FALSE)*VLOOKUP($S294,Frequenties[],3,FALSE)*VLOOKUP($A294,Locaties[],3,FALSE),0)</f>
        <v>0</v>
      </c>
      <c r="V294" s="202">
        <f>Ruimtestaat[[#This Row],[Uitvoeringen werkdagen]]*Ruimtestaat[[#This Row],[Oppervlak (netto)]]</f>
        <v>59850</v>
      </c>
      <c r="W294" s="242">
        <f>IF(U294&gt;0,Ruimtestaat[[#This Row],[Prest. (m2 /jaar) werkdagen]]/Ruimtestaat[[#This Row],[Norm (m2/uur) werkdagen]],0)</f>
        <v>0</v>
      </c>
      <c r="X294" s="243">
        <f>Ruimtestaat[[#This Row],[uren / jaar werkdagen]]*Tariefsopbouw!$D$38</f>
        <v>0</v>
      </c>
      <c r="Y294" s="33"/>
      <c r="Z294" s="33">
        <f>IF(Ruimtestaat[[#This Row],[Frequentie weekend]]&gt;0,VALUE(LEFT(Y294,1))*R294,0)</f>
        <v>0</v>
      </c>
      <c r="AA294" s="33">
        <f>IF($Z294&gt;0,VLOOKUP($J294,Ruimtegroepen[],3,FALSE)*VLOOKUP($L294,Vloersoorten[],3,FALSE)*VLOOKUP($Y294,Frequenties[],3,FALSE)*VLOOKUP(#REF!,Locaties[],3,FALSE),0)</f>
        <v>0</v>
      </c>
      <c r="AB294" s="33"/>
      <c r="AC294" s="33"/>
      <c r="AD294" s="33">
        <f>Ruimtestaat[[#This Row],[uren / jaar weekend]]*Tariefsopbouw!$D$40</f>
        <v>0</v>
      </c>
      <c r="AE294" s="86">
        <f>Ruimtestaat[[#This Row],[Prest. (m2 /jaar) weekend]]+Ruimtestaat[[#This Row],[Prest. (m2 /jaar) werkdagen]]</f>
        <v>59850</v>
      </c>
      <c r="AF294" s="86">
        <f>Ruimtestaat[[#This Row],[uren / jaar weekend]]+Ruimtestaat[[#This Row],[uren / jaar werkdagen]]</f>
        <v>0</v>
      </c>
      <c r="AG294" s="87">
        <f>Ruimtestaat[[#This Row],[kosten / jaar weekend]]+Ruimtestaat[[#This Row],[kosten / jaar werkdagen]]</f>
        <v>0</v>
      </c>
    </row>
    <row r="295" spans="1:33" ht="15" customHeight="1">
      <c r="A295" s="187">
        <v>4</v>
      </c>
      <c r="B295" s="21" t="str">
        <f>VLOOKUP(Ruimtestaat[[#This Row],[Code]],Locaties[#All],2,FALSE)</f>
        <v xml:space="preserve">Lyceumstraat </v>
      </c>
      <c r="C295" s="247" t="str">
        <f>VLOOKUP(Ruimtestaat[[#This Row],[Code]],Locaties[#All],4,FALSE)</f>
        <v>Lyceumstraat 36</v>
      </c>
      <c r="D295" s="247" t="str">
        <f>VLOOKUP(Ruimtestaat[[#This Row],[Code]],Locaties[#All],5,FALSE)</f>
        <v>7572 CR</v>
      </c>
      <c r="E295" s="187" t="str">
        <f>VLOOKUP(Ruimtestaat[[#This Row],[Code]],Locaties[#All],6,FALSE)</f>
        <v>Oldenzaal</v>
      </c>
      <c r="F295" s="248"/>
      <c r="G295" s="246">
        <v>1</v>
      </c>
      <c r="H295" s="246" t="s">
        <v>955</v>
      </c>
      <c r="I295" s="248" t="s">
        <v>956</v>
      </c>
      <c r="J295" s="187">
        <v>16</v>
      </c>
      <c r="K295" s="187" t="str">
        <f>VLOOKUP(Ruimtestaat[[#This Row],[Ruimte code]],Ruimtegroepen[#All],2,FALSE)</f>
        <v>Leslokalen/computerlokaal</v>
      </c>
      <c r="L295" s="247" t="s">
        <v>677</v>
      </c>
      <c r="M295" s="246" t="s">
        <v>1200</v>
      </c>
      <c r="N295" s="200">
        <v>15</v>
      </c>
      <c r="O295" s="200"/>
      <c r="P295" s="231" t="str">
        <f>VLOOKUP(Ruimtestaat[[#This Row],[Ruimte code]],Ruimtegroepen[#All],4,FALSE)</f>
        <v>L  (Lesruimte)</v>
      </c>
      <c r="Q295" s="201"/>
      <c r="R295" s="202">
        <v>42</v>
      </c>
      <c r="S295" s="202" t="s">
        <v>2</v>
      </c>
      <c r="T295" s="202">
        <f>IF(R295&gt;0,IF(RIGHT(Ruimtestaat[[#This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95" s="202">
        <f>IF(T295&gt;0,VLOOKUP($J295,Ruimtegroepen[],3,FALSE)*VLOOKUP($L295,Vloersoorten[],3,FALSE)*VLOOKUP($S295,Frequenties[],3,FALSE)*VLOOKUP($A295,Locaties[],3,FALSE),0)</f>
        <v>0</v>
      </c>
      <c r="V295" s="202">
        <f>Ruimtestaat[[#This Row],[Uitvoeringen werkdagen]]*Ruimtestaat[[#This Row],[Oppervlak (netto)]]</f>
        <v>3150</v>
      </c>
      <c r="W295" s="242">
        <f>IF(U295&gt;0,Ruimtestaat[[#This Row],[Prest. (m2 /jaar) werkdagen]]/Ruimtestaat[[#This Row],[Norm (m2/uur) werkdagen]],0)</f>
        <v>0</v>
      </c>
      <c r="X295" s="243">
        <f>Ruimtestaat[[#This Row],[uren / jaar werkdagen]]*Tariefsopbouw!$D$38</f>
        <v>0</v>
      </c>
      <c r="Y295" s="33"/>
      <c r="Z295" s="33">
        <f>IF(Ruimtestaat[[#This Row],[Frequentie weekend]]&gt;0,VALUE(LEFT(Y295,1))*R295,0)</f>
        <v>0</v>
      </c>
      <c r="AA295" s="33">
        <f>IF($Z295&gt;0,VLOOKUP($J295,Ruimtegroepen[],3,FALSE)*VLOOKUP($L295,Vloersoorten[],3,FALSE)*VLOOKUP($Y295,Frequenties[],3,FALSE)*VLOOKUP(#REF!,Locaties[],3,FALSE),0)</f>
        <v>0</v>
      </c>
      <c r="AB295" s="33"/>
      <c r="AC295" s="33"/>
      <c r="AD295" s="33">
        <f>Ruimtestaat[[#This Row],[uren / jaar weekend]]*Tariefsopbouw!$D$40</f>
        <v>0</v>
      </c>
      <c r="AE295" s="86">
        <f>Ruimtestaat[[#This Row],[Prest. (m2 /jaar) weekend]]+Ruimtestaat[[#This Row],[Prest. (m2 /jaar) werkdagen]]</f>
        <v>3150</v>
      </c>
      <c r="AF295" s="86">
        <f>Ruimtestaat[[#This Row],[uren / jaar weekend]]+Ruimtestaat[[#This Row],[uren / jaar werkdagen]]</f>
        <v>0</v>
      </c>
      <c r="AG295" s="87">
        <f>Ruimtestaat[[#This Row],[kosten / jaar weekend]]+Ruimtestaat[[#This Row],[kosten / jaar werkdagen]]</f>
        <v>0</v>
      </c>
    </row>
    <row r="296" spans="1:33" ht="15" customHeight="1">
      <c r="A296" s="187">
        <v>4</v>
      </c>
      <c r="B296" s="21" t="str">
        <f>VLOOKUP(Ruimtestaat[[#This Row],[Code]],Locaties[#All],2,FALSE)</f>
        <v xml:space="preserve">Lyceumstraat </v>
      </c>
      <c r="C296" s="247" t="str">
        <f>VLOOKUP(Ruimtestaat[[#This Row],[Code]],Locaties[#All],4,FALSE)</f>
        <v>Lyceumstraat 36</v>
      </c>
      <c r="D296" s="247" t="str">
        <f>VLOOKUP(Ruimtestaat[[#This Row],[Code]],Locaties[#All],5,FALSE)</f>
        <v>7572 CR</v>
      </c>
      <c r="E296" s="187" t="str">
        <f>VLOOKUP(Ruimtestaat[[#This Row],[Code]],Locaties[#All],6,FALSE)</f>
        <v>Oldenzaal</v>
      </c>
      <c r="F296" s="248"/>
      <c r="G296" s="246">
        <v>1</v>
      </c>
      <c r="H296" s="246" t="s">
        <v>957</v>
      </c>
      <c r="I296" s="248" t="s">
        <v>958</v>
      </c>
      <c r="J296" s="187">
        <v>9</v>
      </c>
      <c r="K296" s="187" t="str">
        <f>VLOOKUP(Ruimtestaat[[#This Row],[Ruimte code]],Ruimtegroepen[#All],2,FALSE)</f>
        <v>Bibliotheek / OLC</v>
      </c>
      <c r="L296" s="247" t="s">
        <v>1204</v>
      </c>
      <c r="M296" s="246" t="s">
        <v>1205</v>
      </c>
      <c r="N296" s="200">
        <v>137</v>
      </c>
      <c r="O296" s="200"/>
      <c r="P296" s="231" t="str">
        <f>VLOOKUP(Ruimtestaat[[#This Row],[Ruimte code]],Ruimtegroepen[#All],4,FALSE)</f>
        <v>L  (Lesruimte)</v>
      </c>
      <c r="Q296" s="201"/>
      <c r="R296" s="202">
        <v>42</v>
      </c>
      <c r="S296" s="202" t="s">
        <v>2</v>
      </c>
      <c r="T296" s="202">
        <f>IF(R296&gt;0,IF(RIGHT(Ruimtestaat[[#This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96" s="202">
        <f>IF(T296&gt;0,VLOOKUP($J296,Ruimtegroepen[],3,FALSE)*VLOOKUP($L296,Vloersoorten[],3,FALSE)*VLOOKUP($S296,Frequenties[],3,FALSE)*VLOOKUP($A296,Locaties[],3,FALSE),0)</f>
        <v>0</v>
      </c>
      <c r="V296" s="202">
        <f>Ruimtestaat[[#This Row],[Uitvoeringen werkdagen]]*Ruimtestaat[[#This Row],[Oppervlak (netto)]]</f>
        <v>28770</v>
      </c>
      <c r="W296" s="242">
        <f>IF(U296&gt;0,Ruimtestaat[[#This Row],[Prest. (m2 /jaar) werkdagen]]/Ruimtestaat[[#This Row],[Norm (m2/uur) werkdagen]],0)</f>
        <v>0</v>
      </c>
      <c r="X296" s="243">
        <f>Ruimtestaat[[#This Row],[uren / jaar werkdagen]]*Tariefsopbouw!$D$38</f>
        <v>0</v>
      </c>
      <c r="Y296" s="33"/>
      <c r="Z296" s="33">
        <f>IF(Ruimtestaat[[#This Row],[Frequentie weekend]]&gt;0,VALUE(LEFT(Y296,1))*R296,0)</f>
        <v>0</v>
      </c>
      <c r="AA296" s="33">
        <f>IF($Z296&gt;0,VLOOKUP($J296,Ruimtegroepen[],3,FALSE)*VLOOKUP($L296,Vloersoorten[],3,FALSE)*VLOOKUP($Y296,Frequenties[],3,FALSE)*VLOOKUP(#REF!,Locaties[],3,FALSE),0)</f>
        <v>0</v>
      </c>
      <c r="AB296" s="33"/>
      <c r="AC296" s="33"/>
      <c r="AD296" s="33">
        <f>Ruimtestaat[[#This Row],[uren / jaar weekend]]*Tariefsopbouw!$D$40</f>
        <v>0</v>
      </c>
      <c r="AE296" s="86">
        <f>Ruimtestaat[[#This Row],[Prest. (m2 /jaar) weekend]]+Ruimtestaat[[#This Row],[Prest. (m2 /jaar) werkdagen]]</f>
        <v>28770</v>
      </c>
      <c r="AF296" s="86">
        <f>Ruimtestaat[[#This Row],[uren / jaar weekend]]+Ruimtestaat[[#This Row],[uren / jaar werkdagen]]</f>
        <v>0</v>
      </c>
      <c r="AG296" s="87">
        <f>Ruimtestaat[[#This Row],[kosten / jaar weekend]]+Ruimtestaat[[#This Row],[kosten / jaar werkdagen]]</f>
        <v>0</v>
      </c>
    </row>
    <row r="297" spans="1:33" ht="15" customHeight="1">
      <c r="A297" s="187">
        <v>4</v>
      </c>
      <c r="B297" s="21" t="str">
        <f>VLOOKUP(Ruimtestaat[[#This Row],[Code]],Locaties[#All],2,FALSE)</f>
        <v xml:space="preserve">Lyceumstraat </v>
      </c>
      <c r="C297" s="247" t="str">
        <f>VLOOKUP(Ruimtestaat[[#This Row],[Code]],Locaties[#All],4,FALSE)</f>
        <v>Lyceumstraat 36</v>
      </c>
      <c r="D297" s="247" t="str">
        <f>VLOOKUP(Ruimtestaat[[#This Row],[Code]],Locaties[#All],5,FALSE)</f>
        <v>7572 CR</v>
      </c>
      <c r="E297" s="187" t="str">
        <f>VLOOKUP(Ruimtestaat[[#This Row],[Code]],Locaties[#All],6,FALSE)</f>
        <v>Oldenzaal</v>
      </c>
      <c r="F297" s="248"/>
      <c r="G297" s="246">
        <v>1</v>
      </c>
      <c r="H297" s="246" t="s">
        <v>959</v>
      </c>
      <c r="I297" s="248" t="s">
        <v>591</v>
      </c>
      <c r="J297" s="187">
        <v>5</v>
      </c>
      <c r="K297" s="187" t="str">
        <f>VLOOKUP(Ruimtestaat[[#This Row],[Ruimte code]],Ruimtegroepen[#All],2,FALSE)</f>
        <v>Sanitair</v>
      </c>
      <c r="L297" s="247" t="s">
        <v>677</v>
      </c>
      <c r="M297" s="246" t="s">
        <v>1200</v>
      </c>
      <c r="N297" s="200">
        <v>9</v>
      </c>
      <c r="O297" s="200"/>
      <c r="P297" s="231" t="str">
        <f>VLOOKUP(Ruimtestaat[[#This Row],[Ruimte code]],Ruimtegroepen[#All],4,FALSE)</f>
        <v>S  (Sanitair)</v>
      </c>
      <c r="Q297" s="201"/>
      <c r="R297" s="202">
        <v>42</v>
      </c>
      <c r="S297" s="202" t="s">
        <v>19</v>
      </c>
      <c r="T297" s="202">
        <f>IF(R297&gt;0,IF(RIGHT(Ruimtestaat[[#This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297" s="202">
        <f>IF(T297&gt;0,VLOOKUP($J297,Ruimtegroepen[],3,FALSE)*VLOOKUP($L297,Vloersoorten[],3,FALSE)*VLOOKUP($S297,Frequenties[],3,FALSE)*VLOOKUP($A297,Locaties[],3,FALSE),0)</f>
        <v>0</v>
      </c>
      <c r="V297" s="202">
        <f>Ruimtestaat[[#This Row],[Uitvoeringen werkdagen]]*Ruimtestaat[[#This Row],[Oppervlak (netto)]]</f>
        <v>3780</v>
      </c>
      <c r="W297" s="242">
        <f>IF(U297&gt;0,Ruimtestaat[[#This Row],[Prest. (m2 /jaar) werkdagen]]/Ruimtestaat[[#This Row],[Norm (m2/uur) werkdagen]],0)</f>
        <v>0</v>
      </c>
      <c r="X297" s="243">
        <f>Ruimtestaat[[#This Row],[uren / jaar werkdagen]]*Tariefsopbouw!$D$38</f>
        <v>0</v>
      </c>
      <c r="Y297" s="33"/>
      <c r="Z297" s="33">
        <f>IF(Ruimtestaat[[#This Row],[Frequentie weekend]]&gt;0,VALUE(LEFT(Y297,1))*R297,0)</f>
        <v>0</v>
      </c>
      <c r="AA297" s="33">
        <f>IF($Z297&gt;0,VLOOKUP($J297,Ruimtegroepen[],3,FALSE)*VLOOKUP($L297,Vloersoorten[],3,FALSE)*VLOOKUP($Y297,Frequenties[],3,FALSE)*VLOOKUP(#REF!,Locaties[],3,FALSE),0)</f>
        <v>0</v>
      </c>
      <c r="AB297" s="33"/>
      <c r="AC297" s="33"/>
      <c r="AD297" s="33">
        <f>Ruimtestaat[[#This Row],[uren / jaar weekend]]*Tariefsopbouw!$D$40</f>
        <v>0</v>
      </c>
      <c r="AE297" s="86">
        <f>Ruimtestaat[[#This Row],[Prest. (m2 /jaar) weekend]]+Ruimtestaat[[#This Row],[Prest. (m2 /jaar) werkdagen]]</f>
        <v>3780</v>
      </c>
      <c r="AF297" s="86">
        <f>Ruimtestaat[[#This Row],[uren / jaar weekend]]+Ruimtestaat[[#This Row],[uren / jaar werkdagen]]</f>
        <v>0</v>
      </c>
      <c r="AG297" s="87">
        <f>Ruimtestaat[[#This Row],[kosten / jaar weekend]]+Ruimtestaat[[#This Row],[kosten / jaar werkdagen]]</f>
        <v>0</v>
      </c>
    </row>
    <row r="298" spans="1:33" ht="15" customHeight="1">
      <c r="A298" s="187">
        <v>4</v>
      </c>
      <c r="B298" s="21" t="str">
        <f>VLOOKUP(Ruimtestaat[[#This Row],[Code]],Locaties[#All],2,FALSE)</f>
        <v xml:space="preserve">Lyceumstraat </v>
      </c>
      <c r="C298" s="247" t="str">
        <f>VLOOKUP(Ruimtestaat[[#This Row],[Code]],Locaties[#All],4,FALSE)</f>
        <v>Lyceumstraat 36</v>
      </c>
      <c r="D298" s="247" t="str">
        <f>VLOOKUP(Ruimtestaat[[#This Row],[Code]],Locaties[#All],5,FALSE)</f>
        <v>7572 CR</v>
      </c>
      <c r="E298" s="187" t="str">
        <f>VLOOKUP(Ruimtestaat[[#This Row],[Code]],Locaties[#All],6,FALSE)</f>
        <v>Oldenzaal</v>
      </c>
      <c r="F298" s="248"/>
      <c r="G298" s="246">
        <v>1</v>
      </c>
      <c r="H298" s="246" t="s">
        <v>960</v>
      </c>
      <c r="I298" s="248" t="s">
        <v>608</v>
      </c>
      <c r="J298" s="187">
        <v>5</v>
      </c>
      <c r="K298" s="187" t="str">
        <f>VLOOKUP(Ruimtestaat[[#This Row],[Ruimte code]],Ruimtegroepen[#All],2,FALSE)</f>
        <v>Sanitair</v>
      </c>
      <c r="L298" s="247" t="s">
        <v>677</v>
      </c>
      <c r="M298" s="246" t="s">
        <v>1200</v>
      </c>
      <c r="N298" s="200">
        <v>6</v>
      </c>
      <c r="O298" s="200"/>
      <c r="P298" s="231" t="str">
        <f>VLOOKUP(Ruimtestaat[[#This Row],[Ruimte code]],Ruimtegroepen[#All],4,FALSE)</f>
        <v>S  (Sanitair)</v>
      </c>
      <c r="Q298" s="201"/>
      <c r="R298" s="202">
        <v>42</v>
      </c>
      <c r="S298" s="202" t="s">
        <v>19</v>
      </c>
      <c r="T298" s="202">
        <f>IF(R298&gt;0,IF(RIGHT(Ruimtestaat[[#This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298" s="202">
        <f>IF(T298&gt;0,VLOOKUP($J298,Ruimtegroepen[],3,FALSE)*VLOOKUP($L298,Vloersoorten[],3,FALSE)*VLOOKUP($S298,Frequenties[],3,FALSE)*VLOOKUP($A298,Locaties[],3,FALSE),0)</f>
        <v>0</v>
      </c>
      <c r="V298" s="202">
        <f>Ruimtestaat[[#This Row],[Uitvoeringen werkdagen]]*Ruimtestaat[[#This Row],[Oppervlak (netto)]]</f>
        <v>2520</v>
      </c>
      <c r="W298" s="242">
        <f>IF(U298&gt;0,Ruimtestaat[[#This Row],[Prest. (m2 /jaar) werkdagen]]/Ruimtestaat[[#This Row],[Norm (m2/uur) werkdagen]],0)</f>
        <v>0</v>
      </c>
      <c r="X298" s="243">
        <f>Ruimtestaat[[#This Row],[uren / jaar werkdagen]]*Tariefsopbouw!$D$38</f>
        <v>0</v>
      </c>
      <c r="Y298" s="33"/>
      <c r="Z298" s="33">
        <f>IF(Ruimtestaat[[#This Row],[Frequentie weekend]]&gt;0,VALUE(LEFT(Y298,1))*R298,0)</f>
        <v>0</v>
      </c>
      <c r="AA298" s="33">
        <f>IF($Z298&gt;0,VLOOKUP($J298,Ruimtegroepen[],3,FALSE)*VLOOKUP($L298,Vloersoorten[],3,FALSE)*VLOOKUP($Y298,Frequenties[],3,FALSE)*VLOOKUP(#REF!,Locaties[],3,FALSE),0)</f>
        <v>0</v>
      </c>
      <c r="AB298" s="33"/>
      <c r="AC298" s="33"/>
      <c r="AD298" s="33">
        <f>Ruimtestaat[[#This Row],[uren / jaar weekend]]*Tariefsopbouw!$D$40</f>
        <v>0</v>
      </c>
      <c r="AE298" s="86">
        <f>Ruimtestaat[[#This Row],[Prest. (m2 /jaar) weekend]]+Ruimtestaat[[#This Row],[Prest. (m2 /jaar) werkdagen]]</f>
        <v>2520</v>
      </c>
      <c r="AF298" s="86">
        <f>Ruimtestaat[[#This Row],[uren / jaar weekend]]+Ruimtestaat[[#This Row],[uren / jaar werkdagen]]</f>
        <v>0</v>
      </c>
      <c r="AG298" s="87">
        <f>Ruimtestaat[[#This Row],[kosten / jaar weekend]]+Ruimtestaat[[#This Row],[kosten / jaar werkdagen]]</f>
        <v>0</v>
      </c>
    </row>
    <row r="299" spans="1:33" ht="15" customHeight="1">
      <c r="A299" s="187">
        <v>4</v>
      </c>
      <c r="B299" s="21" t="str">
        <f>VLOOKUP(Ruimtestaat[[#This Row],[Code]],Locaties[#All],2,FALSE)</f>
        <v xml:space="preserve">Lyceumstraat </v>
      </c>
      <c r="C299" s="247" t="str">
        <f>VLOOKUP(Ruimtestaat[[#This Row],[Code]],Locaties[#All],4,FALSE)</f>
        <v>Lyceumstraat 36</v>
      </c>
      <c r="D299" s="247" t="str">
        <f>VLOOKUP(Ruimtestaat[[#This Row],[Code]],Locaties[#All],5,FALSE)</f>
        <v>7572 CR</v>
      </c>
      <c r="E299" s="187" t="str">
        <f>VLOOKUP(Ruimtestaat[[#This Row],[Code]],Locaties[#All],6,FALSE)</f>
        <v>Oldenzaal</v>
      </c>
      <c r="F299" s="248"/>
      <c r="G299" s="246">
        <v>1</v>
      </c>
      <c r="H299" s="246" t="s">
        <v>961</v>
      </c>
      <c r="I299" s="248" t="s">
        <v>596</v>
      </c>
      <c r="J299" s="187">
        <v>10</v>
      </c>
      <c r="K299" s="187" t="str">
        <f>VLOOKUP(Ruimtestaat[[#This Row],[Ruimte code]],Ruimtegroepen[#All],2,FALSE)</f>
        <v>Trappenhuizen/lift</v>
      </c>
      <c r="L299" s="202" t="s">
        <v>108</v>
      </c>
      <c r="M299" s="246" t="s">
        <v>1201</v>
      </c>
      <c r="N299" s="200">
        <v>83</v>
      </c>
      <c r="O299" s="200"/>
      <c r="P299" s="231" t="str">
        <f>VLOOKUP(Ruimtestaat[[#This Row],[Ruimte code]],Ruimtegroepen[#All],4,FALSE)</f>
        <v>V  (Verkeersruimte)</v>
      </c>
      <c r="Q299" s="201"/>
      <c r="R299" s="202">
        <v>42</v>
      </c>
      <c r="S299" s="202" t="s">
        <v>2</v>
      </c>
      <c r="T299" s="202">
        <f>IF(R299&gt;0,IF(RIGHT(Ruimtestaat[[#This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299" s="202">
        <f>IF(T299&gt;0,VLOOKUP($J299,Ruimtegroepen[],3,FALSE)*VLOOKUP($L299,Vloersoorten[],3,FALSE)*VLOOKUP($S299,Frequenties[],3,FALSE)*VLOOKUP($A299,Locaties[],3,FALSE),0)</f>
        <v>0</v>
      </c>
      <c r="V299" s="202">
        <f>Ruimtestaat[[#This Row],[Uitvoeringen werkdagen]]*Ruimtestaat[[#This Row],[Oppervlak (netto)]]</f>
        <v>17430</v>
      </c>
      <c r="W299" s="242">
        <f>IF(U299&gt;0,Ruimtestaat[[#This Row],[Prest. (m2 /jaar) werkdagen]]/Ruimtestaat[[#This Row],[Norm (m2/uur) werkdagen]],0)</f>
        <v>0</v>
      </c>
      <c r="X299" s="243">
        <f>Ruimtestaat[[#This Row],[uren / jaar werkdagen]]*Tariefsopbouw!$D$38</f>
        <v>0</v>
      </c>
      <c r="Y299" s="33"/>
      <c r="Z299" s="33">
        <f>IF(Ruimtestaat[[#This Row],[Frequentie weekend]]&gt;0,VALUE(LEFT(Y299,1))*R299,0)</f>
        <v>0</v>
      </c>
      <c r="AA299" s="33">
        <f>IF($Z299&gt;0,VLOOKUP($J299,Ruimtegroepen[],3,FALSE)*VLOOKUP($L299,Vloersoorten[],3,FALSE)*VLOOKUP($Y299,Frequenties[],3,FALSE)*VLOOKUP(#REF!,Locaties[],3,FALSE),0)</f>
        <v>0</v>
      </c>
      <c r="AB299" s="33"/>
      <c r="AC299" s="33"/>
      <c r="AD299" s="33">
        <f>Ruimtestaat[[#This Row],[uren / jaar weekend]]*Tariefsopbouw!$D$40</f>
        <v>0</v>
      </c>
      <c r="AE299" s="86">
        <f>Ruimtestaat[[#This Row],[Prest. (m2 /jaar) weekend]]+Ruimtestaat[[#This Row],[Prest. (m2 /jaar) werkdagen]]</f>
        <v>17430</v>
      </c>
      <c r="AF299" s="86">
        <f>Ruimtestaat[[#This Row],[uren / jaar weekend]]+Ruimtestaat[[#This Row],[uren / jaar werkdagen]]</f>
        <v>0</v>
      </c>
      <c r="AG299" s="87">
        <f>Ruimtestaat[[#This Row],[kosten / jaar weekend]]+Ruimtestaat[[#This Row],[kosten / jaar werkdagen]]</f>
        <v>0</v>
      </c>
    </row>
    <row r="300" spans="1:33" ht="15" customHeight="1">
      <c r="A300" s="187">
        <v>4</v>
      </c>
      <c r="B300" s="21" t="str">
        <f>VLOOKUP(Ruimtestaat[[#This Row],[Code]],Locaties[#All],2,FALSE)</f>
        <v xml:space="preserve">Lyceumstraat </v>
      </c>
      <c r="C300" s="247" t="str">
        <f>VLOOKUP(Ruimtestaat[[#This Row],[Code]],Locaties[#All],4,FALSE)</f>
        <v>Lyceumstraat 36</v>
      </c>
      <c r="D300" s="247" t="str">
        <f>VLOOKUP(Ruimtestaat[[#This Row],[Code]],Locaties[#All],5,FALSE)</f>
        <v>7572 CR</v>
      </c>
      <c r="E300" s="187" t="str">
        <f>VLOOKUP(Ruimtestaat[[#This Row],[Code]],Locaties[#All],6,FALSE)</f>
        <v>Oldenzaal</v>
      </c>
      <c r="F300" s="248"/>
      <c r="G300" s="246">
        <v>1</v>
      </c>
      <c r="H300" s="246" t="s">
        <v>962</v>
      </c>
      <c r="I300" s="248" t="s">
        <v>963</v>
      </c>
      <c r="J300" s="187">
        <v>6</v>
      </c>
      <c r="K300" s="187" t="str">
        <f>VLOOKUP(Ruimtestaat[[#This Row],[Ruimte code]],Ruimtegroepen[#All],2,FALSE)</f>
        <v>Gangen/hallen</v>
      </c>
      <c r="L300" s="247" t="s">
        <v>677</v>
      </c>
      <c r="M300" s="246" t="s">
        <v>1200</v>
      </c>
      <c r="N300" s="200">
        <v>41</v>
      </c>
      <c r="O300" s="200"/>
      <c r="P300" s="231" t="str">
        <f>VLOOKUP(Ruimtestaat[[#This Row],[Ruimte code]],Ruimtegroepen[#All],4,FALSE)</f>
        <v>V  (Verkeersruimte)</v>
      </c>
      <c r="Q300" s="201"/>
      <c r="R300" s="202">
        <v>42</v>
      </c>
      <c r="S300" s="202" t="s">
        <v>2</v>
      </c>
      <c r="T300" s="202">
        <f>IF(R300&gt;0,IF(RIGHT(Ruimtestaat[[#This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00" s="202">
        <f>IF(T300&gt;0,VLOOKUP($J300,Ruimtegroepen[],3,FALSE)*VLOOKUP($L300,Vloersoorten[],3,FALSE)*VLOOKUP($S300,Frequenties[],3,FALSE)*VLOOKUP($A300,Locaties[],3,FALSE),0)</f>
        <v>0</v>
      </c>
      <c r="V300" s="202">
        <f>Ruimtestaat[[#This Row],[Uitvoeringen werkdagen]]*Ruimtestaat[[#This Row],[Oppervlak (netto)]]</f>
        <v>8610</v>
      </c>
      <c r="W300" s="242">
        <f>IF(U300&gt;0,Ruimtestaat[[#This Row],[Prest. (m2 /jaar) werkdagen]]/Ruimtestaat[[#This Row],[Norm (m2/uur) werkdagen]],0)</f>
        <v>0</v>
      </c>
      <c r="X300" s="243">
        <f>Ruimtestaat[[#This Row],[uren / jaar werkdagen]]*Tariefsopbouw!$D$38</f>
        <v>0</v>
      </c>
      <c r="Y300" s="33"/>
      <c r="Z300" s="33">
        <f>IF(Ruimtestaat[[#This Row],[Frequentie weekend]]&gt;0,VALUE(LEFT(Y300,1))*R300,0)</f>
        <v>0</v>
      </c>
      <c r="AA300" s="33">
        <f>IF($Z300&gt;0,VLOOKUP($J300,Ruimtegroepen[],3,FALSE)*VLOOKUP($L300,Vloersoorten[],3,FALSE)*VLOOKUP($Y300,Frequenties[],3,FALSE)*VLOOKUP(#REF!,Locaties[],3,FALSE),0)</f>
        <v>0</v>
      </c>
      <c r="AB300" s="33"/>
      <c r="AC300" s="33"/>
      <c r="AD300" s="33">
        <f>Ruimtestaat[[#This Row],[uren / jaar weekend]]*Tariefsopbouw!$D$40</f>
        <v>0</v>
      </c>
      <c r="AE300" s="86">
        <f>Ruimtestaat[[#This Row],[Prest. (m2 /jaar) weekend]]+Ruimtestaat[[#This Row],[Prest. (m2 /jaar) werkdagen]]</f>
        <v>8610</v>
      </c>
      <c r="AF300" s="86">
        <f>Ruimtestaat[[#This Row],[uren / jaar weekend]]+Ruimtestaat[[#This Row],[uren / jaar werkdagen]]</f>
        <v>0</v>
      </c>
      <c r="AG300" s="87">
        <f>Ruimtestaat[[#This Row],[kosten / jaar weekend]]+Ruimtestaat[[#This Row],[kosten / jaar werkdagen]]</f>
        <v>0</v>
      </c>
    </row>
    <row r="301" spans="1:33" ht="15" customHeight="1">
      <c r="A301" s="187">
        <v>4</v>
      </c>
      <c r="B301" s="21" t="str">
        <f>VLOOKUP(Ruimtestaat[[#This Row],[Code]],Locaties[#All],2,FALSE)</f>
        <v xml:space="preserve">Lyceumstraat </v>
      </c>
      <c r="C301" s="247" t="str">
        <f>VLOOKUP(Ruimtestaat[[#This Row],[Code]],Locaties[#All],4,FALSE)</f>
        <v>Lyceumstraat 36</v>
      </c>
      <c r="D301" s="247" t="str">
        <f>VLOOKUP(Ruimtestaat[[#This Row],[Code]],Locaties[#All],5,FALSE)</f>
        <v>7572 CR</v>
      </c>
      <c r="E301" s="187" t="str">
        <f>VLOOKUP(Ruimtestaat[[#This Row],[Code]],Locaties[#All],6,FALSE)</f>
        <v>Oldenzaal</v>
      </c>
      <c r="F301" s="248"/>
      <c r="G301" s="246">
        <v>1</v>
      </c>
      <c r="H301" s="246" t="s">
        <v>964</v>
      </c>
      <c r="I301" s="248" t="s">
        <v>414</v>
      </c>
      <c r="J301" s="187">
        <v>6</v>
      </c>
      <c r="K301" s="187" t="str">
        <f>VLOOKUP(Ruimtestaat[[#This Row],[Ruimte code]],Ruimtegroepen[#All],2,FALSE)</f>
        <v>Gangen/hallen</v>
      </c>
      <c r="L301" s="202" t="s">
        <v>108</v>
      </c>
      <c r="M301" s="246" t="s">
        <v>1201</v>
      </c>
      <c r="N301" s="200">
        <v>58</v>
      </c>
      <c r="O301" s="200"/>
      <c r="P301" s="231" t="str">
        <f>VLOOKUP(Ruimtestaat[[#This Row],[Ruimte code]],Ruimtegroepen[#All],4,FALSE)</f>
        <v>V  (Verkeersruimte)</v>
      </c>
      <c r="Q301" s="201"/>
      <c r="R301" s="202">
        <v>42</v>
      </c>
      <c r="S301" s="202" t="s">
        <v>2</v>
      </c>
      <c r="T301" s="202">
        <f>IF(R301&gt;0,IF(RIGHT(Ruimtestaat[[#This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01" s="202">
        <f>IF(T301&gt;0,VLOOKUP($J301,Ruimtegroepen[],3,FALSE)*VLOOKUP($L301,Vloersoorten[],3,FALSE)*VLOOKUP($S301,Frequenties[],3,FALSE)*VLOOKUP($A301,Locaties[],3,FALSE),0)</f>
        <v>0</v>
      </c>
      <c r="V301" s="202">
        <f>Ruimtestaat[[#This Row],[Uitvoeringen werkdagen]]*Ruimtestaat[[#This Row],[Oppervlak (netto)]]</f>
        <v>12180</v>
      </c>
      <c r="W301" s="242">
        <f>IF(U301&gt;0,Ruimtestaat[[#This Row],[Prest. (m2 /jaar) werkdagen]]/Ruimtestaat[[#This Row],[Norm (m2/uur) werkdagen]],0)</f>
        <v>0</v>
      </c>
      <c r="X301" s="243">
        <f>Ruimtestaat[[#This Row],[uren / jaar werkdagen]]*Tariefsopbouw!$D$38</f>
        <v>0</v>
      </c>
      <c r="Y301" s="33"/>
      <c r="Z301" s="33">
        <f>IF(Ruimtestaat[[#This Row],[Frequentie weekend]]&gt;0,VALUE(LEFT(Y301,1))*R301,0)</f>
        <v>0</v>
      </c>
      <c r="AA301" s="33">
        <f>IF($Z301&gt;0,VLOOKUP($J301,Ruimtegroepen[],3,FALSE)*VLOOKUP($L301,Vloersoorten[],3,FALSE)*VLOOKUP($Y301,Frequenties[],3,FALSE)*VLOOKUP(#REF!,Locaties[],3,FALSE),0)</f>
        <v>0</v>
      </c>
      <c r="AB301" s="33"/>
      <c r="AC301" s="33"/>
      <c r="AD301" s="33">
        <f>Ruimtestaat[[#This Row],[uren / jaar weekend]]*Tariefsopbouw!$D$40</f>
        <v>0</v>
      </c>
      <c r="AE301" s="86">
        <f>Ruimtestaat[[#This Row],[Prest. (m2 /jaar) weekend]]+Ruimtestaat[[#This Row],[Prest. (m2 /jaar) werkdagen]]</f>
        <v>12180</v>
      </c>
      <c r="AF301" s="86">
        <f>Ruimtestaat[[#This Row],[uren / jaar weekend]]+Ruimtestaat[[#This Row],[uren / jaar werkdagen]]</f>
        <v>0</v>
      </c>
      <c r="AG301" s="87">
        <f>Ruimtestaat[[#This Row],[kosten / jaar weekend]]+Ruimtestaat[[#This Row],[kosten / jaar werkdagen]]</f>
        <v>0</v>
      </c>
    </row>
    <row r="302" spans="1:33" ht="15" customHeight="1">
      <c r="A302" s="187">
        <v>4</v>
      </c>
      <c r="B302" s="21" t="str">
        <f>VLOOKUP(Ruimtestaat[[#This Row],[Code]],Locaties[#All],2,FALSE)</f>
        <v xml:space="preserve">Lyceumstraat </v>
      </c>
      <c r="C302" s="247" t="str">
        <f>VLOOKUP(Ruimtestaat[[#This Row],[Code]],Locaties[#All],4,FALSE)</f>
        <v>Lyceumstraat 36</v>
      </c>
      <c r="D302" s="247" t="str">
        <f>VLOOKUP(Ruimtestaat[[#This Row],[Code]],Locaties[#All],5,FALSE)</f>
        <v>7572 CR</v>
      </c>
      <c r="E302" s="187" t="str">
        <f>VLOOKUP(Ruimtestaat[[#This Row],[Code]],Locaties[#All],6,FALSE)</f>
        <v>Oldenzaal</v>
      </c>
      <c r="F302" s="248"/>
      <c r="G302" s="246">
        <v>1</v>
      </c>
      <c r="H302" s="246" t="s">
        <v>965</v>
      </c>
      <c r="I302" s="248" t="s">
        <v>596</v>
      </c>
      <c r="J302" s="187">
        <v>10</v>
      </c>
      <c r="K302" s="187" t="str">
        <f>VLOOKUP(Ruimtestaat[[#This Row],[Ruimte code]],Ruimtegroepen[#All],2,FALSE)</f>
        <v>Trappenhuizen/lift</v>
      </c>
      <c r="L302" s="202" t="s">
        <v>108</v>
      </c>
      <c r="M302" s="246" t="s">
        <v>1201</v>
      </c>
      <c r="N302" s="200">
        <v>14</v>
      </c>
      <c r="O302" s="200"/>
      <c r="P302" s="231" t="str">
        <f>VLOOKUP(Ruimtestaat[[#This Row],[Ruimte code]],Ruimtegroepen[#All],4,FALSE)</f>
        <v>V  (Verkeersruimte)</v>
      </c>
      <c r="Q302" s="201"/>
      <c r="R302" s="202">
        <v>42</v>
      </c>
      <c r="S302" s="202" t="s">
        <v>2</v>
      </c>
      <c r="T302" s="202">
        <f>IF(R302&gt;0,IF(RIGHT(Ruimtestaat[[#This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02" s="202">
        <f>IF(T302&gt;0,VLOOKUP($J302,Ruimtegroepen[],3,FALSE)*VLOOKUP($L302,Vloersoorten[],3,FALSE)*VLOOKUP($S302,Frequenties[],3,FALSE)*VLOOKUP($A302,Locaties[],3,FALSE),0)</f>
        <v>0</v>
      </c>
      <c r="V302" s="202">
        <f>Ruimtestaat[[#This Row],[Uitvoeringen werkdagen]]*Ruimtestaat[[#This Row],[Oppervlak (netto)]]</f>
        <v>2940</v>
      </c>
      <c r="W302" s="242">
        <f>IF(U302&gt;0,Ruimtestaat[[#This Row],[Prest. (m2 /jaar) werkdagen]]/Ruimtestaat[[#This Row],[Norm (m2/uur) werkdagen]],0)</f>
        <v>0</v>
      </c>
      <c r="X302" s="243">
        <f>Ruimtestaat[[#This Row],[uren / jaar werkdagen]]*Tariefsopbouw!$D$38</f>
        <v>0</v>
      </c>
      <c r="Y302" s="33"/>
      <c r="Z302" s="33">
        <f>IF(Ruimtestaat[[#This Row],[Frequentie weekend]]&gt;0,VALUE(LEFT(Y302,1))*R302,0)</f>
        <v>0</v>
      </c>
      <c r="AA302" s="33">
        <f>IF($Z302&gt;0,VLOOKUP($J302,Ruimtegroepen[],3,FALSE)*VLOOKUP($L302,Vloersoorten[],3,FALSE)*VLOOKUP($Y302,Frequenties[],3,FALSE)*VLOOKUP(#REF!,Locaties[],3,FALSE),0)</f>
        <v>0</v>
      </c>
      <c r="AB302" s="33"/>
      <c r="AC302" s="33"/>
      <c r="AD302" s="33">
        <f>Ruimtestaat[[#This Row],[uren / jaar weekend]]*Tariefsopbouw!$D$40</f>
        <v>0</v>
      </c>
      <c r="AE302" s="86">
        <f>Ruimtestaat[[#This Row],[Prest. (m2 /jaar) weekend]]+Ruimtestaat[[#This Row],[Prest. (m2 /jaar) werkdagen]]</f>
        <v>2940</v>
      </c>
      <c r="AF302" s="86">
        <f>Ruimtestaat[[#This Row],[uren / jaar weekend]]+Ruimtestaat[[#This Row],[uren / jaar werkdagen]]</f>
        <v>0</v>
      </c>
      <c r="AG302" s="87">
        <f>Ruimtestaat[[#This Row],[kosten / jaar weekend]]+Ruimtestaat[[#This Row],[kosten / jaar werkdagen]]</f>
        <v>0</v>
      </c>
    </row>
    <row r="303" spans="1:33" ht="15" customHeight="1">
      <c r="A303" s="187">
        <v>4</v>
      </c>
      <c r="B303" s="21" t="str">
        <f>VLOOKUP(Ruimtestaat[[#This Row],[Code]],Locaties[#All],2,FALSE)</f>
        <v xml:space="preserve">Lyceumstraat </v>
      </c>
      <c r="C303" s="247" t="str">
        <f>VLOOKUP(Ruimtestaat[[#This Row],[Code]],Locaties[#All],4,FALSE)</f>
        <v>Lyceumstraat 36</v>
      </c>
      <c r="D303" s="247" t="str">
        <f>VLOOKUP(Ruimtestaat[[#This Row],[Code]],Locaties[#All],5,FALSE)</f>
        <v>7572 CR</v>
      </c>
      <c r="E303" s="187" t="str">
        <f>VLOOKUP(Ruimtestaat[[#This Row],[Code]],Locaties[#All],6,FALSE)</f>
        <v>Oldenzaal</v>
      </c>
      <c r="F303" s="248"/>
      <c r="G303" s="246">
        <v>1</v>
      </c>
      <c r="H303" s="246" t="s">
        <v>965</v>
      </c>
      <c r="I303" s="248" t="s">
        <v>414</v>
      </c>
      <c r="J303" s="187">
        <v>6</v>
      </c>
      <c r="K303" s="187" t="str">
        <f>VLOOKUP(Ruimtestaat[[#This Row],[Ruimte code]],Ruimtegroepen[#All],2,FALSE)</f>
        <v>Gangen/hallen</v>
      </c>
      <c r="L303" s="247" t="s">
        <v>677</v>
      </c>
      <c r="M303" s="246" t="s">
        <v>1200</v>
      </c>
      <c r="N303" s="200">
        <v>116</v>
      </c>
      <c r="O303" s="200"/>
      <c r="P303" s="231" t="str">
        <f>VLOOKUP(Ruimtestaat[[#This Row],[Ruimte code]],Ruimtegroepen[#All],4,FALSE)</f>
        <v>V  (Verkeersruimte)</v>
      </c>
      <c r="Q303" s="201"/>
      <c r="R303" s="202">
        <v>42</v>
      </c>
      <c r="S303" s="202" t="s">
        <v>2</v>
      </c>
      <c r="T303" s="202">
        <f>IF(R303&gt;0,IF(RIGHT(Ruimtestaat[[#This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03" s="202">
        <f>IF(T303&gt;0,VLOOKUP($J303,Ruimtegroepen[],3,FALSE)*VLOOKUP($L303,Vloersoorten[],3,FALSE)*VLOOKUP($S303,Frequenties[],3,FALSE)*VLOOKUP($A303,Locaties[],3,FALSE),0)</f>
        <v>0</v>
      </c>
      <c r="V303" s="202">
        <f>Ruimtestaat[[#This Row],[Uitvoeringen werkdagen]]*Ruimtestaat[[#This Row],[Oppervlak (netto)]]</f>
        <v>24360</v>
      </c>
      <c r="W303" s="242">
        <f>IF(U303&gt;0,Ruimtestaat[[#This Row],[Prest. (m2 /jaar) werkdagen]]/Ruimtestaat[[#This Row],[Norm (m2/uur) werkdagen]],0)</f>
        <v>0</v>
      </c>
      <c r="X303" s="243">
        <f>Ruimtestaat[[#This Row],[uren / jaar werkdagen]]*Tariefsopbouw!$D$38</f>
        <v>0</v>
      </c>
      <c r="Y303" s="33"/>
      <c r="Z303" s="33">
        <f>IF(Ruimtestaat[[#This Row],[Frequentie weekend]]&gt;0,VALUE(LEFT(Y303,1))*R303,0)</f>
        <v>0</v>
      </c>
      <c r="AA303" s="33">
        <f>IF($Z303&gt;0,VLOOKUP($J303,Ruimtegroepen[],3,FALSE)*VLOOKUP($L303,Vloersoorten[],3,FALSE)*VLOOKUP($Y303,Frequenties[],3,FALSE)*VLOOKUP(#REF!,Locaties[],3,FALSE),0)</f>
        <v>0</v>
      </c>
      <c r="AB303" s="33"/>
      <c r="AC303" s="33"/>
      <c r="AD303" s="33">
        <f>Ruimtestaat[[#This Row],[uren / jaar weekend]]*Tariefsopbouw!$D$40</f>
        <v>0</v>
      </c>
      <c r="AE303" s="86">
        <f>Ruimtestaat[[#This Row],[Prest. (m2 /jaar) weekend]]+Ruimtestaat[[#This Row],[Prest. (m2 /jaar) werkdagen]]</f>
        <v>24360</v>
      </c>
      <c r="AF303" s="86">
        <f>Ruimtestaat[[#This Row],[uren / jaar weekend]]+Ruimtestaat[[#This Row],[uren / jaar werkdagen]]</f>
        <v>0</v>
      </c>
      <c r="AG303" s="87">
        <f>Ruimtestaat[[#This Row],[kosten / jaar weekend]]+Ruimtestaat[[#This Row],[kosten / jaar werkdagen]]</f>
        <v>0</v>
      </c>
    </row>
    <row r="304" spans="1:33" ht="15" customHeight="1">
      <c r="A304" s="187">
        <v>4</v>
      </c>
      <c r="B304" s="21" t="str">
        <f>VLOOKUP(Ruimtestaat[[#This Row],[Code]],Locaties[#All],2,FALSE)</f>
        <v xml:space="preserve">Lyceumstraat </v>
      </c>
      <c r="C304" s="247" t="str">
        <f>VLOOKUP(Ruimtestaat[[#This Row],[Code]],Locaties[#All],4,FALSE)</f>
        <v>Lyceumstraat 36</v>
      </c>
      <c r="D304" s="247" t="str">
        <f>VLOOKUP(Ruimtestaat[[#This Row],[Code]],Locaties[#All],5,FALSE)</f>
        <v>7572 CR</v>
      </c>
      <c r="E304" s="187" t="str">
        <f>VLOOKUP(Ruimtestaat[[#This Row],[Code]],Locaties[#All],6,FALSE)</f>
        <v>Oldenzaal</v>
      </c>
      <c r="F304" s="248"/>
      <c r="G304" s="246">
        <v>1</v>
      </c>
      <c r="H304" s="246" t="s">
        <v>966</v>
      </c>
      <c r="I304" s="248" t="s">
        <v>967</v>
      </c>
      <c r="J304" s="187">
        <v>10</v>
      </c>
      <c r="K304" s="187" t="str">
        <f>VLOOKUP(Ruimtestaat[[#This Row],[Ruimte code]],Ruimtegroepen[#All],2,FALSE)</f>
        <v>Trappenhuizen/lift</v>
      </c>
      <c r="L304" s="202" t="s">
        <v>108</v>
      </c>
      <c r="M304" s="246" t="s">
        <v>1201</v>
      </c>
      <c r="N304" s="200">
        <v>14</v>
      </c>
      <c r="O304" s="200"/>
      <c r="P304" s="231" t="str">
        <f>VLOOKUP(Ruimtestaat[[#This Row],[Ruimte code]],Ruimtegroepen[#All],4,FALSE)</f>
        <v>V  (Verkeersruimte)</v>
      </c>
      <c r="Q304" s="201"/>
      <c r="R304" s="202">
        <v>42</v>
      </c>
      <c r="S304" s="202" t="s">
        <v>2</v>
      </c>
      <c r="T304" s="202">
        <f>IF(R304&gt;0,IF(RIGHT(Ruimtestaat[[#This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04" s="202">
        <f>IF(T304&gt;0,VLOOKUP($J304,Ruimtegroepen[],3,FALSE)*VLOOKUP($L304,Vloersoorten[],3,FALSE)*VLOOKUP($S304,Frequenties[],3,FALSE)*VLOOKUP($A304,Locaties[],3,FALSE),0)</f>
        <v>0</v>
      </c>
      <c r="V304" s="202">
        <f>Ruimtestaat[[#This Row],[Uitvoeringen werkdagen]]*Ruimtestaat[[#This Row],[Oppervlak (netto)]]</f>
        <v>2940</v>
      </c>
      <c r="W304" s="242">
        <f>IF(U304&gt;0,Ruimtestaat[[#This Row],[Prest. (m2 /jaar) werkdagen]]/Ruimtestaat[[#This Row],[Norm (m2/uur) werkdagen]],0)</f>
        <v>0</v>
      </c>
      <c r="X304" s="243">
        <f>Ruimtestaat[[#This Row],[uren / jaar werkdagen]]*Tariefsopbouw!$D$38</f>
        <v>0</v>
      </c>
      <c r="Y304" s="33"/>
      <c r="Z304" s="33">
        <f>IF(Ruimtestaat[[#This Row],[Frequentie weekend]]&gt;0,VALUE(LEFT(Y304,1))*R304,0)</f>
        <v>0</v>
      </c>
      <c r="AA304" s="33">
        <f>IF($Z304&gt;0,VLOOKUP($J304,Ruimtegroepen[],3,FALSE)*VLOOKUP($L304,Vloersoorten[],3,FALSE)*VLOOKUP($Y304,Frequenties[],3,FALSE)*VLOOKUP(#REF!,Locaties[],3,FALSE),0)</f>
        <v>0</v>
      </c>
      <c r="AB304" s="33"/>
      <c r="AC304" s="33"/>
      <c r="AD304" s="33">
        <f>Ruimtestaat[[#This Row],[uren / jaar weekend]]*Tariefsopbouw!$D$40</f>
        <v>0</v>
      </c>
      <c r="AE304" s="86">
        <f>Ruimtestaat[[#This Row],[Prest. (m2 /jaar) weekend]]+Ruimtestaat[[#This Row],[Prest. (m2 /jaar) werkdagen]]</f>
        <v>2940</v>
      </c>
      <c r="AF304" s="86">
        <f>Ruimtestaat[[#This Row],[uren / jaar weekend]]+Ruimtestaat[[#This Row],[uren / jaar werkdagen]]</f>
        <v>0</v>
      </c>
      <c r="AG304" s="87">
        <f>Ruimtestaat[[#This Row],[kosten / jaar weekend]]+Ruimtestaat[[#This Row],[kosten / jaar werkdagen]]</f>
        <v>0</v>
      </c>
    </row>
    <row r="305" spans="1:33" ht="15" customHeight="1">
      <c r="A305" s="187">
        <v>4</v>
      </c>
      <c r="B305" s="21" t="str">
        <f>VLOOKUP(Ruimtestaat[[#This Row],[Code]],Locaties[#All],2,FALSE)</f>
        <v xml:space="preserve">Lyceumstraat </v>
      </c>
      <c r="C305" s="247" t="str">
        <f>VLOOKUP(Ruimtestaat[[#This Row],[Code]],Locaties[#All],4,FALSE)</f>
        <v>Lyceumstraat 36</v>
      </c>
      <c r="D305" s="247" t="str">
        <f>VLOOKUP(Ruimtestaat[[#This Row],[Code]],Locaties[#All],5,FALSE)</f>
        <v>7572 CR</v>
      </c>
      <c r="E305" s="187" t="str">
        <f>VLOOKUP(Ruimtestaat[[#This Row],[Code]],Locaties[#All],6,FALSE)</f>
        <v>Oldenzaal</v>
      </c>
      <c r="F305" s="248"/>
      <c r="G305" s="246">
        <v>2</v>
      </c>
      <c r="H305" s="246" t="s">
        <v>968</v>
      </c>
      <c r="I305" s="248" t="s">
        <v>465</v>
      </c>
      <c r="J305" s="187">
        <v>16</v>
      </c>
      <c r="K305" s="187" t="str">
        <f>VLOOKUP(Ruimtestaat[[#This Row],[Ruimte code]],Ruimtegroepen[#All],2,FALSE)</f>
        <v>Leslokalen/computerlokaal</v>
      </c>
      <c r="L305" s="247" t="s">
        <v>677</v>
      </c>
      <c r="M305" s="246" t="s">
        <v>1200</v>
      </c>
      <c r="N305" s="200">
        <v>60</v>
      </c>
      <c r="O305" s="200"/>
      <c r="P305" s="231" t="str">
        <f>VLOOKUP(Ruimtestaat[[#This Row],[Ruimte code]],Ruimtegroepen[#All],4,FALSE)</f>
        <v>L  (Lesruimte)</v>
      </c>
      <c r="Q305" s="201"/>
      <c r="R305" s="202">
        <v>42</v>
      </c>
      <c r="S305" s="202" t="s">
        <v>2</v>
      </c>
      <c r="T305" s="202">
        <f>IF(R305&gt;0,IF(RIGHT(Ruimtestaat[[#This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05" s="202">
        <f>IF(T305&gt;0,VLOOKUP($J305,Ruimtegroepen[],3,FALSE)*VLOOKUP($L305,Vloersoorten[],3,FALSE)*VLOOKUP($S305,Frequenties[],3,FALSE)*VLOOKUP($A305,Locaties[],3,FALSE),0)</f>
        <v>0</v>
      </c>
      <c r="V305" s="202">
        <f>Ruimtestaat[[#This Row],[Uitvoeringen werkdagen]]*Ruimtestaat[[#This Row],[Oppervlak (netto)]]</f>
        <v>12600</v>
      </c>
      <c r="W305" s="242">
        <f>IF(U305&gt;0,Ruimtestaat[[#This Row],[Prest. (m2 /jaar) werkdagen]]/Ruimtestaat[[#This Row],[Norm (m2/uur) werkdagen]],0)</f>
        <v>0</v>
      </c>
      <c r="X305" s="243">
        <f>Ruimtestaat[[#This Row],[uren / jaar werkdagen]]*Tariefsopbouw!$D$38</f>
        <v>0</v>
      </c>
      <c r="Y305" s="33"/>
      <c r="Z305" s="33">
        <f>IF(Ruimtestaat[[#This Row],[Frequentie weekend]]&gt;0,VALUE(LEFT(Y305,1))*R305,0)</f>
        <v>0</v>
      </c>
      <c r="AA305" s="33">
        <f>IF($Z305&gt;0,VLOOKUP($J305,Ruimtegroepen[],3,FALSE)*VLOOKUP($L305,Vloersoorten[],3,FALSE)*VLOOKUP($Y305,Frequenties[],3,FALSE)*VLOOKUP(#REF!,Locaties[],3,FALSE),0)</f>
        <v>0</v>
      </c>
      <c r="AB305" s="33"/>
      <c r="AC305" s="33"/>
      <c r="AD305" s="33">
        <f>Ruimtestaat[[#This Row],[uren / jaar weekend]]*Tariefsopbouw!$D$40</f>
        <v>0</v>
      </c>
      <c r="AE305" s="86">
        <f>Ruimtestaat[[#This Row],[Prest. (m2 /jaar) weekend]]+Ruimtestaat[[#This Row],[Prest. (m2 /jaar) werkdagen]]</f>
        <v>12600</v>
      </c>
      <c r="AF305" s="86">
        <f>Ruimtestaat[[#This Row],[uren / jaar weekend]]+Ruimtestaat[[#This Row],[uren / jaar werkdagen]]</f>
        <v>0</v>
      </c>
      <c r="AG305" s="87">
        <f>Ruimtestaat[[#This Row],[kosten / jaar weekend]]+Ruimtestaat[[#This Row],[kosten / jaar werkdagen]]</f>
        <v>0</v>
      </c>
    </row>
    <row r="306" spans="1:33" ht="15" customHeight="1">
      <c r="A306" s="187">
        <v>4</v>
      </c>
      <c r="B306" s="21" t="str">
        <f>VLOOKUP(Ruimtestaat[[#This Row],[Code]],Locaties[#All],2,FALSE)</f>
        <v xml:space="preserve">Lyceumstraat </v>
      </c>
      <c r="C306" s="247" t="str">
        <f>VLOOKUP(Ruimtestaat[[#This Row],[Code]],Locaties[#All],4,FALSE)</f>
        <v>Lyceumstraat 36</v>
      </c>
      <c r="D306" s="247" t="str">
        <f>VLOOKUP(Ruimtestaat[[#This Row],[Code]],Locaties[#All],5,FALSE)</f>
        <v>7572 CR</v>
      </c>
      <c r="E306" s="187" t="str">
        <f>VLOOKUP(Ruimtestaat[[#This Row],[Code]],Locaties[#All],6,FALSE)</f>
        <v>Oldenzaal</v>
      </c>
      <c r="F306" s="248"/>
      <c r="G306" s="246">
        <v>2</v>
      </c>
      <c r="H306" s="246" t="s">
        <v>969</v>
      </c>
      <c r="I306" s="248" t="s">
        <v>465</v>
      </c>
      <c r="J306" s="187">
        <v>16</v>
      </c>
      <c r="K306" s="187" t="str">
        <f>VLOOKUP(Ruimtestaat[[#This Row],[Ruimte code]],Ruimtegroepen[#All],2,FALSE)</f>
        <v>Leslokalen/computerlokaal</v>
      </c>
      <c r="L306" s="247" t="s">
        <v>677</v>
      </c>
      <c r="M306" s="246" t="s">
        <v>1200</v>
      </c>
      <c r="N306" s="200">
        <v>62</v>
      </c>
      <c r="O306" s="200"/>
      <c r="P306" s="231" t="str">
        <f>VLOOKUP(Ruimtestaat[[#This Row],[Ruimte code]],Ruimtegroepen[#All],4,FALSE)</f>
        <v>L  (Lesruimte)</v>
      </c>
      <c r="Q306" s="201"/>
      <c r="R306" s="202">
        <v>42</v>
      </c>
      <c r="S306" s="202" t="s">
        <v>2</v>
      </c>
      <c r="T306" s="202">
        <f>IF(R306&gt;0,IF(RIGHT(Ruimtestaat[[#This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06" s="202">
        <f>IF(T306&gt;0,VLOOKUP($J306,Ruimtegroepen[],3,FALSE)*VLOOKUP($L306,Vloersoorten[],3,FALSE)*VLOOKUP($S306,Frequenties[],3,FALSE)*VLOOKUP($A306,Locaties[],3,FALSE),0)</f>
        <v>0</v>
      </c>
      <c r="V306" s="202">
        <f>Ruimtestaat[[#This Row],[Uitvoeringen werkdagen]]*Ruimtestaat[[#This Row],[Oppervlak (netto)]]</f>
        <v>13020</v>
      </c>
      <c r="W306" s="242">
        <f>IF(U306&gt;0,Ruimtestaat[[#This Row],[Prest. (m2 /jaar) werkdagen]]/Ruimtestaat[[#This Row],[Norm (m2/uur) werkdagen]],0)</f>
        <v>0</v>
      </c>
      <c r="X306" s="243">
        <f>Ruimtestaat[[#This Row],[uren / jaar werkdagen]]*Tariefsopbouw!$D$38</f>
        <v>0</v>
      </c>
      <c r="Y306" s="33"/>
      <c r="Z306" s="33">
        <f>IF(Ruimtestaat[[#This Row],[Frequentie weekend]]&gt;0,VALUE(LEFT(Y306,1))*R306,0)</f>
        <v>0</v>
      </c>
      <c r="AA306" s="33">
        <f>IF($Z306&gt;0,VLOOKUP($J306,Ruimtegroepen[],3,FALSE)*VLOOKUP($L306,Vloersoorten[],3,FALSE)*VLOOKUP($Y306,Frequenties[],3,FALSE)*VLOOKUP(#REF!,Locaties[],3,FALSE),0)</f>
        <v>0</v>
      </c>
      <c r="AB306" s="33"/>
      <c r="AC306" s="33"/>
      <c r="AD306" s="33">
        <f>Ruimtestaat[[#This Row],[uren / jaar weekend]]*Tariefsopbouw!$D$40</f>
        <v>0</v>
      </c>
      <c r="AE306" s="86">
        <f>Ruimtestaat[[#This Row],[Prest. (m2 /jaar) weekend]]+Ruimtestaat[[#This Row],[Prest. (m2 /jaar) werkdagen]]</f>
        <v>13020</v>
      </c>
      <c r="AF306" s="86">
        <f>Ruimtestaat[[#This Row],[uren / jaar weekend]]+Ruimtestaat[[#This Row],[uren / jaar werkdagen]]</f>
        <v>0</v>
      </c>
      <c r="AG306" s="87">
        <f>Ruimtestaat[[#This Row],[kosten / jaar weekend]]+Ruimtestaat[[#This Row],[kosten / jaar werkdagen]]</f>
        <v>0</v>
      </c>
    </row>
    <row r="307" spans="1:33" ht="15" customHeight="1">
      <c r="A307" s="187">
        <v>4</v>
      </c>
      <c r="B307" s="21" t="str">
        <f>VLOOKUP(Ruimtestaat[[#This Row],[Code]],Locaties[#All],2,FALSE)</f>
        <v xml:space="preserve">Lyceumstraat </v>
      </c>
      <c r="C307" s="247" t="str">
        <f>VLOOKUP(Ruimtestaat[[#This Row],[Code]],Locaties[#All],4,FALSE)</f>
        <v>Lyceumstraat 36</v>
      </c>
      <c r="D307" s="247" t="str">
        <f>VLOOKUP(Ruimtestaat[[#This Row],[Code]],Locaties[#All],5,FALSE)</f>
        <v>7572 CR</v>
      </c>
      <c r="E307" s="187" t="str">
        <f>VLOOKUP(Ruimtestaat[[#This Row],[Code]],Locaties[#All],6,FALSE)</f>
        <v>Oldenzaal</v>
      </c>
      <c r="F307" s="248"/>
      <c r="G307" s="246">
        <v>2</v>
      </c>
      <c r="H307" s="246" t="s">
        <v>970</v>
      </c>
      <c r="I307" s="248" t="s">
        <v>465</v>
      </c>
      <c r="J307" s="187">
        <v>16</v>
      </c>
      <c r="K307" s="187" t="str">
        <f>VLOOKUP(Ruimtestaat[[#This Row],[Ruimte code]],Ruimtegroepen[#All],2,FALSE)</f>
        <v>Leslokalen/computerlokaal</v>
      </c>
      <c r="L307" s="247" t="s">
        <v>677</v>
      </c>
      <c r="M307" s="246" t="s">
        <v>1200</v>
      </c>
      <c r="N307" s="200">
        <v>46</v>
      </c>
      <c r="O307" s="200"/>
      <c r="P307" s="231" t="str">
        <f>VLOOKUP(Ruimtestaat[[#This Row],[Ruimte code]],Ruimtegroepen[#All],4,FALSE)</f>
        <v>L  (Lesruimte)</v>
      </c>
      <c r="Q307" s="201"/>
      <c r="R307" s="202">
        <v>42</v>
      </c>
      <c r="S307" s="202" t="s">
        <v>2</v>
      </c>
      <c r="T307" s="202">
        <f>IF(R307&gt;0,IF(RIGHT(Ruimtestaat[[#This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07" s="202">
        <f>IF(T307&gt;0,VLOOKUP($J307,Ruimtegroepen[],3,FALSE)*VLOOKUP($L307,Vloersoorten[],3,FALSE)*VLOOKUP($S307,Frequenties[],3,FALSE)*VLOOKUP($A307,Locaties[],3,FALSE),0)</f>
        <v>0</v>
      </c>
      <c r="V307" s="202">
        <f>Ruimtestaat[[#This Row],[Uitvoeringen werkdagen]]*Ruimtestaat[[#This Row],[Oppervlak (netto)]]</f>
        <v>9660</v>
      </c>
      <c r="W307" s="242">
        <f>IF(U307&gt;0,Ruimtestaat[[#This Row],[Prest. (m2 /jaar) werkdagen]]/Ruimtestaat[[#This Row],[Norm (m2/uur) werkdagen]],0)</f>
        <v>0</v>
      </c>
      <c r="X307" s="243">
        <f>Ruimtestaat[[#This Row],[uren / jaar werkdagen]]*Tariefsopbouw!$D$38</f>
        <v>0</v>
      </c>
      <c r="Y307" s="33"/>
      <c r="Z307" s="33">
        <f>IF(Ruimtestaat[[#This Row],[Frequentie weekend]]&gt;0,VALUE(LEFT(Y307,1))*R307,0)</f>
        <v>0</v>
      </c>
      <c r="AA307" s="33">
        <f>IF($Z307&gt;0,VLOOKUP($J307,Ruimtegroepen[],3,FALSE)*VLOOKUP($L307,Vloersoorten[],3,FALSE)*VLOOKUP($Y307,Frequenties[],3,FALSE)*VLOOKUP(#REF!,Locaties[],3,FALSE),0)</f>
        <v>0</v>
      </c>
      <c r="AB307" s="33"/>
      <c r="AC307" s="33"/>
      <c r="AD307" s="33">
        <f>Ruimtestaat[[#This Row],[uren / jaar weekend]]*Tariefsopbouw!$D$40</f>
        <v>0</v>
      </c>
      <c r="AE307" s="86">
        <f>Ruimtestaat[[#This Row],[Prest. (m2 /jaar) weekend]]+Ruimtestaat[[#This Row],[Prest. (m2 /jaar) werkdagen]]</f>
        <v>9660</v>
      </c>
      <c r="AF307" s="86">
        <f>Ruimtestaat[[#This Row],[uren / jaar weekend]]+Ruimtestaat[[#This Row],[uren / jaar werkdagen]]</f>
        <v>0</v>
      </c>
      <c r="AG307" s="87">
        <f>Ruimtestaat[[#This Row],[kosten / jaar weekend]]+Ruimtestaat[[#This Row],[kosten / jaar werkdagen]]</f>
        <v>0</v>
      </c>
    </row>
    <row r="308" spans="1:33" ht="15" customHeight="1">
      <c r="A308" s="187">
        <v>4</v>
      </c>
      <c r="B308" s="21" t="str">
        <f>VLOOKUP(Ruimtestaat[[#This Row],[Code]],Locaties[#All],2,FALSE)</f>
        <v xml:space="preserve">Lyceumstraat </v>
      </c>
      <c r="C308" s="247" t="str">
        <f>VLOOKUP(Ruimtestaat[[#This Row],[Code]],Locaties[#All],4,FALSE)</f>
        <v>Lyceumstraat 36</v>
      </c>
      <c r="D308" s="247" t="str">
        <f>VLOOKUP(Ruimtestaat[[#This Row],[Code]],Locaties[#All],5,FALSE)</f>
        <v>7572 CR</v>
      </c>
      <c r="E308" s="187" t="str">
        <f>VLOOKUP(Ruimtestaat[[#This Row],[Code]],Locaties[#All],6,FALSE)</f>
        <v>Oldenzaal</v>
      </c>
      <c r="F308" s="248"/>
      <c r="G308" s="246">
        <v>2</v>
      </c>
      <c r="H308" s="246" t="s">
        <v>971</v>
      </c>
      <c r="I308" s="248" t="s">
        <v>465</v>
      </c>
      <c r="J308" s="247">
        <v>16</v>
      </c>
      <c r="K308" s="247" t="str">
        <f>VLOOKUP(Ruimtestaat[[#This Row],[Ruimte code]],Ruimtegroepen[#All],2,FALSE)</f>
        <v>Leslokalen/computerlokaal</v>
      </c>
      <c r="L308" s="247" t="s">
        <v>677</v>
      </c>
      <c r="M308" s="246" t="s">
        <v>1200</v>
      </c>
      <c r="N308" s="200">
        <v>57</v>
      </c>
      <c r="O308" s="200"/>
      <c r="P308" s="231" t="str">
        <f>VLOOKUP(Ruimtestaat[[#This Row],[Ruimte code]],Ruimtegroepen[#All],4,FALSE)</f>
        <v>L  (Lesruimte)</v>
      </c>
      <c r="Q308" s="201"/>
      <c r="R308" s="202">
        <v>42</v>
      </c>
      <c r="S308" s="202" t="s">
        <v>2</v>
      </c>
      <c r="T308" s="202">
        <f>IF(R308&gt;0,IF(RIGHT(Ruimtestaat[[#This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08" s="202">
        <f>IF(T308&gt;0,VLOOKUP($J308,Ruimtegroepen[],3,FALSE)*VLOOKUP($L308,Vloersoorten[],3,FALSE)*VLOOKUP($S308,Frequenties[],3,FALSE)*VLOOKUP($A308,Locaties[],3,FALSE),0)</f>
        <v>0</v>
      </c>
      <c r="V308" s="202">
        <f>Ruimtestaat[[#This Row],[Uitvoeringen werkdagen]]*Ruimtestaat[[#This Row],[Oppervlak (netto)]]</f>
        <v>11970</v>
      </c>
      <c r="W308" s="242">
        <f>IF(U308&gt;0,Ruimtestaat[[#This Row],[Prest. (m2 /jaar) werkdagen]]/Ruimtestaat[[#This Row],[Norm (m2/uur) werkdagen]],0)</f>
        <v>0</v>
      </c>
      <c r="X308" s="243">
        <f>Ruimtestaat[[#This Row],[uren / jaar werkdagen]]*Tariefsopbouw!$D$38</f>
        <v>0</v>
      </c>
      <c r="Y308" s="33"/>
      <c r="Z308" s="33">
        <f>IF(Ruimtestaat[[#This Row],[Frequentie weekend]]&gt;0,VALUE(LEFT(Y308,1))*R308,0)</f>
        <v>0</v>
      </c>
      <c r="AA308" s="33">
        <f>IF($Z308&gt;0,VLOOKUP($J308,Ruimtegroepen[],3,FALSE)*VLOOKUP($L308,Vloersoorten[],3,FALSE)*VLOOKUP($Y308,Frequenties[],3,FALSE)*VLOOKUP(#REF!,Locaties[],3,FALSE),0)</f>
        <v>0</v>
      </c>
      <c r="AB308" s="33"/>
      <c r="AC308" s="33"/>
      <c r="AD308" s="33">
        <f>Ruimtestaat[[#This Row],[uren / jaar weekend]]*Tariefsopbouw!$D$40</f>
        <v>0</v>
      </c>
      <c r="AE308" s="86">
        <f>Ruimtestaat[[#This Row],[Prest. (m2 /jaar) weekend]]+Ruimtestaat[[#This Row],[Prest. (m2 /jaar) werkdagen]]</f>
        <v>11970</v>
      </c>
      <c r="AF308" s="86">
        <f>Ruimtestaat[[#This Row],[uren / jaar weekend]]+Ruimtestaat[[#This Row],[uren / jaar werkdagen]]</f>
        <v>0</v>
      </c>
      <c r="AG308" s="87">
        <f>Ruimtestaat[[#This Row],[kosten / jaar weekend]]+Ruimtestaat[[#This Row],[kosten / jaar werkdagen]]</f>
        <v>0</v>
      </c>
    </row>
    <row r="309" spans="1:33" ht="15" customHeight="1">
      <c r="A309" s="187">
        <v>4</v>
      </c>
      <c r="B309" s="21" t="str">
        <f>VLOOKUP(Ruimtestaat[[#This Row],[Code]],Locaties[#All],2,FALSE)</f>
        <v xml:space="preserve">Lyceumstraat </v>
      </c>
      <c r="C309" s="247" t="str">
        <f>VLOOKUP(Ruimtestaat[[#This Row],[Code]],Locaties[#All],4,FALSE)</f>
        <v>Lyceumstraat 36</v>
      </c>
      <c r="D309" s="247" t="str">
        <f>VLOOKUP(Ruimtestaat[[#This Row],[Code]],Locaties[#All],5,FALSE)</f>
        <v>7572 CR</v>
      </c>
      <c r="E309" s="187" t="str">
        <f>VLOOKUP(Ruimtestaat[[#This Row],[Code]],Locaties[#All],6,FALSE)</f>
        <v>Oldenzaal</v>
      </c>
      <c r="F309" s="248"/>
      <c r="G309" s="246">
        <v>2</v>
      </c>
      <c r="H309" s="246" t="s">
        <v>972</v>
      </c>
      <c r="I309" s="248" t="s">
        <v>465</v>
      </c>
      <c r="J309" s="187">
        <v>16</v>
      </c>
      <c r="K309" s="187" t="str">
        <f>VLOOKUP(Ruimtestaat[[#This Row],[Ruimte code]],Ruimtegroepen[#All],2,FALSE)</f>
        <v>Leslokalen/computerlokaal</v>
      </c>
      <c r="L309" s="247" t="s">
        <v>677</v>
      </c>
      <c r="M309" s="246" t="s">
        <v>1200</v>
      </c>
      <c r="N309" s="200">
        <v>44</v>
      </c>
      <c r="O309" s="200"/>
      <c r="P309" s="231" t="str">
        <f>VLOOKUP(Ruimtestaat[[#This Row],[Ruimte code]],Ruimtegroepen[#All],4,FALSE)</f>
        <v>L  (Lesruimte)</v>
      </c>
      <c r="Q309" s="201"/>
      <c r="R309" s="202">
        <v>42</v>
      </c>
      <c r="S309" s="202" t="s">
        <v>2</v>
      </c>
      <c r="T309" s="202">
        <f>IF(R309&gt;0,IF(RIGHT(Ruimtestaat[[#This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09" s="202">
        <f>IF(T309&gt;0,VLOOKUP($J309,Ruimtegroepen[],3,FALSE)*VLOOKUP($L309,Vloersoorten[],3,FALSE)*VLOOKUP($S309,Frequenties[],3,FALSE)*VLOOKUP($A309,Locaties[],3,FALSE),0)</f>
        <v>0</v>
      </c>
      <c r="V309" s="202">
        <f>Ruimtestaat[[#This Row],[Uitvoeringen werkdagen]]*Ruimtestaat[[#This Row],[Oppervlak (netto)]]</f>
        <v>9240</v>
      </c>
      <c r="W309" s="242">
        <f>IF(U309&gt;0,Ruimtestaat[[#This Row],[Prest. (m2 /jaar) werkdagen]]/Ruimtestaat[[#This Row],[Norm (m2/uur) werkdagen]],0)</f>
        <v>0</v>
      </c>
      <c r="X309" s="243">
        <f>Ruimtestaat[[#This Row],[uren / jaar werkdagen]]*Tariefsopbouw!$D$38</f>
        <v>0</v>
      </c>
      <c r="Y309" s="33"/>
      <c r="Z309" s="33">
        <f>IF(Ruimtestaat[[#This Row],[Frequentie weekend]]&gt;0,VALUE(LEFT(Y309,1))*R309,0)</f>
        <v>0</v>
      </c>
      <c r="AA309" s="33">
        <f>IF($Z309&gt;0,VLOOKUP($J309,Ruimtegroepen[],3,FALSE)*VLOOKUP($L309,Vloersoorten[],3,FALSE)*VLOOKUP($Y309,Frequenties[],3,FALSE)*VLOOKUP(#REF!,Locaties[],3,FALSE),0)</f>
        <v>0</v>
      </c>
      <c r="AB309" s="33"/>
      <c r="AC309" s="33"/>
      <c r="AD309" s="33">
        <f>Ruimtestaat[[#This Row],[uren / jaar weekend]]*Tariefsopbouw!$D$40</f>
        <v>0</v>
      </c>
      <c r="AE309" s="86">
        <f>Ruimtestaat[[#This Row],[Prest. (m2 /jaar) weekend]]+Ruimtestaat[[#This Row],[Prest. (m2 /jaar) werkdagen]]</f>
        <v>9240</v>
      </c>
      <c r="AF309" s="86">
        <f>Ruimtestaat[[#This Row],[uren / jaar weekend]]+Ruimtestaat[[#This Row],[uren / jaar werkdagen]]</f>
        <v>0</v>
      </c>
      <c r="AG309" s="87">
        <f>Ruimtestaat[[#This Row],[kosten / jaar weekend]]+Ruimtestaat[[#This Row],[kosten / jaar werkdagen]]</f>
        <v>0</v>
      </c>
    </row>
    <row r="310" spans="1:33" ht="15" customHeight="1">
      <c r="A310" s="187">
        <v>4</v>
      </c>
      <c r="B310" s="21" t="str">
        <f>VLOOKUP(Ruimtestaat[[#This Row],[Code]],Locaties[#All],2,FALSE)</f>
        <v xml:space="preserve">Lyceumstraat </v>
      </c>
      <c r="C310" s="247" t="str">
        <f>VLOOKUP(Ruimtestaat[[#This Row],[Code]],Locaties[#All],4,FALSE)</f>
        <v>Lyceumstraat 36</v>
      </c>
      <c r="D310" s="247" t="str">
        <f>VLOOKUP(Ruimtestaat[[#This Row],[Code]],Locaties[#All],5,FALSE)</f>
        <v>7572 CR</v>
      </c>
      <c r="E310" s="187" t="str">
        <f>VLOOKUP(Ruimtestaat[[#This Row],[Code]],Locaties[#All],6,FALSE)</f>
        <v>Oldenzaal</v>
      </c>
      <c r="F310" s="248"/>
      <c r="G310" s="246">
        <v>2</v>
      </c>
      <c r="H310" s="246" t="s">
        <v>973</v>
      </c>
      <c r="I310" s="248" t="s">
        <v>465</v>
      </c>
      <c r="J310" s="187">
        <v>16</v>
      </c>
      <c r="K310" s="187" t="str">
        <f>VLOOKUP(Ruimtestaat[[#This Row],[Ruimte code]],Ruimtegroepen[#All],2,FALSE)</f>
        <v>Leslokalen/computerlokaal</v>
      </c>
      <c r="L310" s="247" t="s">
        <v>677</v>
      </c>
      <c r="M310" s="246" t="s">
        <v>1200</v>
      </c>
      <c r="N310" s="200">
        <v>57</v>
      </c>
      <c r="O310" s="200"/>
      <c r="P310" s="231" t="str">
        <f>VLOOKUP(Ruimtestaat[[#This Row],[Ruimte code]],Ruimtegroepen[#All],4,FALSE)</f>
        <v>L  (Lesruimte)</v>
      </c>
      <c r="Q310" s="201"/>
      <c r="R310" s="202">
        <v>42</v>
      </c>
      <c r="S310" s="202" t="s">
        <v>2</v>
      </c>
      <c r="T310" s="202">
        <f>IF(R310&gt;0,IF(RIGHT(Ruimtestaat[[#This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10" s="202">
        <f>IF(T310&gt;0,VLOOKUP($J310,Ruimtegroepen[],3,FALSE)*VLOOKUP($L310,Vloersoorten[],3,FALSE)*VLOOKUP($S310,Frequenties[],3,FALSE)*VLOOKUP($A310,Locaties[],3,FALSE),0)</f>
        <v>0</v>
      </c>
      <c r="V310" s="202">
        <f>Ruimtestaat[[#This Row],[Uitvoeringen werkdagen]]*Ruimtestaat[[#This Row],[Oppervlak (netto)]]</f>
        <v>11970</v>
      </c>
      <c r="W310" s="242">
        <f>IF(U310&gt;0,Ruimtestaat[[#This Row],[Prest. (m2 /jaar) werkdagen]]/Ruimtestaat[[#This Row],[Norm (m2/uur) werkdagen]],0)</f>
        <v>0</v>
      </c>
      <c r="X310" s="243">
        <f>Ruimtestaat[[#This Row],[uren / jaar werkdagen]]*Tariefsopbouw!$D$38</f>
        <v>0</v>
      </c>
      <c r="Y310" s="33"/>
      <c r="Z310" s="33">
        <f>IF(Ruimtestaat[[#This Row],[Frequentie weekend]]&gt;0,VALUE(LEFT(Y310,1))*R310,0)</f>
        <v>0</v>
      </c>
      <c r="AA310" s="33">
        <f>IF($Z310&gt;0,VLOOKUP($J310,Ruimtegroepen[],3,FALSE)*VLOOKUP($L310,Vloersoorten[],3,FALSE)*VLOOKUP($Y310,Frequenties[],3,FALSE)*VLOOKUP(#REF!,Locaties[],3,FALSE),0)</f>
        <v>0</v>
      </c>
      <c r="AB310" s="33"/>
      <c r="AC310" s="33"/>
      <c r="AD310" s="33">
        <f>Ruimtestaat[[#This Row],[uren / jaar weekend]]*Tariefsopbouw!$D$40</f>
        <v>0</v>
      </c>
      <c r="AE310" s="86">
        <f>Ruimtestaat[[#This Row],[Prest. (m2 /jaar) weekend]]+Ruimtestaat[[#This Row],[Prest. (m2 /jaar) werkdagen]]</f>
        <v>11970</v>
      </c>
      <c r="AF310" s="86">
        <f>Ruimtestaat[[#This Row],[uren / jaar weekend]]+Ruimtestaat[[#This Row],[uren / jaar werkdagen]]</f>
        <v>0</v>
      </c>
      <c r="AG310" s="87">
        <f>Ruimtestaat[[#This Row],[kosten / jaar weekend]]+Ruimtestaat[[#This Row],[kosten / jaar werkdagen]]</f>
        <v>0</v>
      </c>
    </row>
    <row r="311" spans="1:33" ht="15" customHeight="1">
      <c r="A311" s="187">
        <v>4</v>
      </c>
      <c r="B311" s="21" t="str">
        <f>VLOOKUP(Ruimtestaat[[#This Row],[Code]],Locaties[#All],2,FALSE)</f>
        <v xml:space="preserve">Lyceumstraat </v>
      </c>
      <c r="C311" s="247" t="str">
        <f>VLOOKUP(Ruimtestaat[[#This Row],[Code]],Locaties[#All],4,FALSE)</f>
        <v>Lyceumstraat 36</v>
      </c>
      <c r="D311" s="247" t="str">
        <f>VLOOKUP(Ruimtestaat[[#This Row],[Code]],Locaties[#All],5,FALSE)</f>
        <v>7572 CR</v>
      </c>
      <c r="E311" s="187" t="str">
        <f>VLOOKUP(Ruimtestaat[[#This Row],[Code]],Locaties[#All],6,FALSE)</f>
        <v>Oldenzaal</v>
      </c>
      <c r="F311" s="248"/>
      <c r="G311" s="246">
        <v>2</v>
      </c>
      <c r="H311" s="246" t="s">
        <v>974</v>
      </c>
      <c r="I311" s="248" t="s">
        <v>465</v>
      </c>
      <c r="J311" s="187">
        <v>16</v>
      </c>
      <c r="K311" s="187" t="str">
        <f>VLOOKUP(Ruimtestaat[[#This Row],[Ruimte code]],Ruimtegroepen[#All],2,FALSE)</f>
        <v>Leslokalen/computerlokaal</v>
      </c>
      <c r="L311" s="247" t="s">
        <v>677</v>
      </c>
      <c r="M311" s="246" t="s">
        <v>1200</v>
      </c>
      <c r="N311" s="200">
        <v>46</v>
      </c>
      <c r="O311" s="200"/>
      <c r="P311" s="231" t="str">
        <f>VLOOKUP(Ruimtestaat[[#This Row],[Ruimte code]],Ruimtegroepen[#All],4,FALSE)</f>
        <v>L  (Lesruimte)</v>
      </c>
      <c r="Q311" s="201"/>
      <c r="R311" s="202">
        <v>42</v>
      </c>
      <c r="S311" s="202" t="s">
        <v>2</v>
      </c>
      <c r="T311" s="202">
        <f>IF(R311&gt;0,IF(RIGHT(Ruimtestaat[[#This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11" s="202">
        <f>IF(T311&gt;0,VLOOKUP($J311,Ruimtegroepen[],3,FALSE)*VLOOKUP($L311,Vloersoorten[],3,FALSE)*VLOOKUP($S311,Frequenties[],3,FALSE)*VLOOKUP($A311,Locaties[],3,FALSE),0)</f>
        <v>0</v>
      </c>
      <c r="V311" s="202">
        <f>Ruimtestaat[[#This Row],[Uitvoeringen werkdagen]]*Ruimtestaat[[#This Row],[Oppervlak (netto)]]</f>
        <v>9660</v>
      </c>
      <c r="W311" s="242">
        <f>IF(U311&gt;0,Ruimtestaat[[#This Row],[Prest. (m2 /jaar) werkdagen]]/Ruimtestaat[[#This Row],[Norm (m2/uur) werkdagen]],0)</f>
        <v>0</v>
      </c>
      <c r="X311" s="243">
        <f>Ruimtestaat[[#This Row],[uren / jaar werkdagen]]*Tariefsopbouw!$D$38</f>
        <v>0</v>
      </c>
      <c r="Y311" s="33"/>
      <c r="Z311" s="33">
        <f>IF(Ruimtestaat[[#This Row],[Frequentie weekend]]&gt;0,VALUE(LEFT(Y311,1))*R311,0)</f>
        <v>0</v>
      </c>
      <c r="AA311" s="33">
        <f>IF($Z311&gt;0,VLOOKUP($J311,Ruimtegroepen[],3,FALSE)*VLOOKUP($L311,Vloersoorten[],3,FALSE)*VLOOKUP($Y311,Frequenties[],3,FALSE)*VLOOKUP(#REF!,Locaties[],3,FALSE),0)</f>
        <v>0</v>
      </c>
      <c r="AB311" s="33"/>
      <c r="AC311" s="33"/>
      <c r="AD311" s="33">
        <f>Ruimtestaat[[#This Row],[uren / jaar weekend]]*Tariefsopbouw!$D$40</f>
        <v>0</v>
      </c>
      <c r="AE311" s="86">
        <f>Ruimtestaat[[#This Row],[Prest. (m2 /jaar) weekend]]+Ruimtestaat[[#This Row],[Prest. (m2 /jaar) werkdagen]]</f>
        <v>9660</v>
      </c>
      <c r="AF311" s="86">
        <f>Ruimtestaat[[#This Row],[uren / jaar weekend]]+Ruimtestaat[[#This Row],[uren / jaar werkdagen]]</f>
        <v>0</v>
      </c>
      <c r="AG311" s="87">
        <f>Ruimtestaat[[#This Row],[kosten / jaar weekend]]+Ruimtestaat[[#This Row],[kosten / jaar werkdagen]]</f>
        <v>0</v>
      </c>
    </row>
    <row r="312" spans="1:33" ht="15" customHeight="1">
      <c r="A312" s="187">
        <v>4</v>
      </c>
      <c r="B312" s="21" t="str">
        <f>VLOOKUP(Ruimtestaat[[#This Row],[Code]],Locaties[#All],2,FALSE)</f>
        <v xml:space="preserve">Lyceumstraat </v>
      </c>
      <c r="C312" s="247" t="str">
        <f>VLOOKUP(Ruimtestaat[[#This Row],[Code]],Locaties[#All],4,FALSE)</f>
        <v>Lyceumstraat 36</v>
      </c>
      <c r="D312" s="247" t="str">
        <f>VLOOKUP(Ruimtestaat[[#This Row],[Code]],Locaties[#All],5,FALSE)</f>
        <v>7572 CR</v>
      </c>
      <c r="E312" s="187" t="str">
        <f>VLOOKUP(Ruimtestaat[[#This Row],[Code]],Locaties[#All],6,FALSE)</f>
        <v>Oldenzaal</v>
      </c>
      <c r="F312" s="248"/>
      <c r="G312" s="246">
        <v>2</v>
      </c>
      <c r="H312" s="246" t="s">
        <v>975</v>
      </c>
      <c r="I312" s="248" t="s">
        <v>465</v>
      </c>
      <c r="J312" s="187">
        <v>16</v>
      </c>
      <c r="K312" s="187" t="str">
        <f>VLOOKUP(Ruimtestaat[[#This Row],[Ruimte code]],Ruimtegroepen[#All],2,FALSE)</f>
        <v>Leslokalen/computerlokaal</v>
      </c>
      <c r="L312" s="247" t="s">
        <v>677</v>
      </c>
      <c r="M312" s="246" t="s">
        <v>1200</v>
      </c>
      <c r="N312" s="200">
        <v>55</v>
      </c>
      <c r="O312" s="200"/>
      <c r="P312" s="231" t="str">
        <f>VLOOKUP(Ruimtestaat[[#This Row],[Ruimte code]],Ruimtegroepen[#All],4,FALSE)</f>
        <v>L  (Lesruimte)</v>
      </c>
      <c r="Q312" s="201"/>
      <c r="R312" s="202">
        <v>42</v>
      </c>
      <c r="S312" s="202" t="s">
        <v>2</v>
      </c>
      <c r="T312" s="202">
        <f>IF(R312&gt;0,IF(RIGHT(Ruimtestaat[[#This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12" s="202">
        <f>IF(T312&gt;0,VLOOKUP($J312,Ruimtegroepen[],3,FALSE)*VLOOKUP($L312,Vloersoorten[],3,FALSE)*VLOOKUP($S312,Frequenties[],3,FALSE)*VLOOKUP($A312,Locaties[],3,FALSE),0)</f>
        <v>0</v>
      </c>
      <c r="V312" s="202">
        <f>Ruimtestaat[[#This Row],[Uitvoeringen werkdagen]]*Ruimtestaat[[#This Row],[Oppervlak (netto)]]</f>
        <v>11550</v>
      </c>
      <c r="W312" s="242">
        <f>IF(U312&gt;0,Ruimtestaat[[#This Row],[Prest. (m2 /jaar) werkdagen]]/Ruimtestaat[[#This Row],[Norm (m2/uur) werkdagen]],0)</f>
        <v>0</v>
      </c>
      <c r="X312" s="243">
        <f>Ruimtestaat[[#This Row],[uren / jaar werkdagen]]*Tariefsopbouw!$D$38</f>
        <v>0</v>
      </c>
      <c r="Y312" s="33"/>
      <c r="Z312" s="33">
        <f>IF(Ruimtestaat[[#This Row],[Frequentie weekend]]&gt;0,VALUE(LEFT(Y312,1))*R312,0)</f>
        <v>0</v>
      </c>
      <c r="AA312" s="33">
        <f>IF($Z312&gt;0,VLOOKUP($J312,Ruimtegroepen[],3,FALSE)*VLOOKUP($L312,Vloersoorten[],3,FALSE)*VLOOKUP($Y312,Frequenties[],3,FALSE)*VLOOKUP(#REF!,Locaties[],3,FALSE),0)</f>
        <v>0</v>
      </c>
      <c r="AB312" s="33"/>
      <c r="AC312" s="33"/>
      <c r="AD312" s="33">
        <f>Ruimtestaat[[#This Row],[uren / jaar weekend]]*Tariefsopbouw!$D$40</f>
        <v>0</v>
      </c>
      <c r="AE312" s="86">
        <f>Ruimtestaat[[#This Row],[Prest. (m2 /jaar) weekend]]+Ruimtestaat[[#This Row],[Prest. (m2 /jaar) werkdagen]]</f>
        <v>11550</v>
      </c>
      <c r="AF312" s="86">
        <f>Ruimtestaat[[#This Row],[uren / jaar weekend]]+Ruimtestaat[[#This Row],[uren / jaar werkdagen]]</f>
        <v>0</v>
      </c>
      <c r="AG312" s="87">
        <f>Ruimtestaat[[#This Row],[kosten / jaar weekend]]+Ruimtestaat[[#This Row],[kosten / jaar werkdagen]]</f>
        <v>0</v>
      </c>
    </row>
    <row r="313" spans="1:33" ht="15" customHeight="1">
      <c r="A313" s="187">
        <v>4</v>
      </c>
      <c r="B313" s="21" t="str">
        <f>VLOOKUP(Ruimtestaat[[#This Row],[Code]],Locaties[#All],2,FALSE)</f>
        <v xml:space="preserve">Lyceumstraat </v>
      </c>
      <c r="C313" s="247" t="str">
        <f>VLOOKUP(Ruimtestaat[[#This Row],[Code]],Locaties[#All],4,FALSE)</f>
        <v>Lyceumstraat 36</v>
      </c>
      <c r="D313" s="247" t="str">
        <f>VLOOKUP(Ruimtestaat[[#This Row],[Code]],Locaties[#All],5,FALSE)</f>
        <v>7572 CR</v>
      </c>
      <c r="E313" s="187" t="str">
        <f>VLOOKUP(Ruimtestaat[[#This Row],[Code]],Locaties[#All],6,FALSE)</f>
        <v>Oldenzaal</v>
      </c>
      <c r="F313" s="248"/>
      <c r="G313" s="246">
        <v>2</v>
      </c>
      <c r="H313" s="246" t="s">
        <v>976</v>
      </c>
      <c r="I313" s="248" t="s">
        <v>465</v>
      </c>
      <c r="J313" s="187">
        <v>16</v>
      </c>
      <c r="K313" s="187" t="str">
        <f>VLOOKUP(Ruimtestaat[[#This Row],[Ruimte code]],Ruimtegroepen[#All],2,FALSE)</f>
        <v>Leslokalen/computerlokaal</v>
      </c>
      <c r="L313" s="247" t="s">
        <v>677</v>
      </c>
      <c r="M313" s="246" t="s">
        <v>1200</v>
      </c>
      <c r="N313" s="200">
        <v>54</v>
      </c>
      <c r="O313" s="200"/>
      <c r="P313" s="231" t="str">
        <f>VLOOKUP(Ruimtestaat[[#This Row],[Ruimte code]],Ruimtegroepen[#All],4,FALSE)</f>
        <v>L  (Lesruimte)</v>
      </c>
      <c r="Q313" s="201"/>
      <c r="R313" s="202">
        <v>42</v>
      </c>
      <c r="S313" s="202" t="s">
        <v>2</v>
      </c>
      <c r="T313" s="202">
        <f>IF(R313&gt;0,IF(RIGHT(Ruimtestaat[[#This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13" s="202">
        <f>IF(T313&gt;0,VLOOKUP($J313,Ruimtegroepen[],3,FALSE)*VLOOKUP($L313,Vloersoorten[],3,FALSE)*VLOOKUP($S313,Frequenties[],3,FALSE)*VLOOKUP($A313,Locaties[],3,FALSE),0)</f>
        <v>0</v>
      </c>
      <c r="V313" s="202">
        <f>Ruimtestaat[[#This Row],[Uitvoeringen werkdagen]]*Ruimtestaat[[#This Row],[Oppervlak (netto)]]</f>
        <v>11340</v>
      </c>
      <c r="W313" s="242">
        <f>IF(U313&gt;0,Ruimtestaat[[#This Row],[Prest. (m2 /jaar) werkdagen]]/Ruimtestaat[[#This Row],[Norm (m2/uur) werkdagen]],0)</f>
        <v>0</v>
      </c>
      <c r="X313" s="243">
        <f>Ruimtestaat[[#This Row],[uren / jaar werkdagen]]*Tariefsopbouw!$D$38</f>
        <v>0</v>
      </c>
      <c r="Y313" s="33"/>
      <c r="Z313" s="33">
        <f>IF(Ruimtestaat[[#This Row],[Frequentie weekend]]&gt;0,VALUE(LEFT(Y313,1))*R313,0)</f>
        <v>0</v>
      </c>
      <c r="AA313" s="33">
        <f>IF($Z313&gt;0,VLOOKUP($J313,Ruimtegroepen[],3,FALSE)*VLOOKUP($L313,Vloersoorten[],3,FALSE)*VLOOKUP($Y313,Frequenties[],3,FALSE)*VLOOKUP(#REF!,Locaties[],3,FALSE),0)</f>
        <v>0</v>
      </c>
      <c r="AB313" s="33"/>
      <c r="AC313" s="33"/>
      <c r="AD313" s="33">
        <f>Ruimtestaat[[#This Row],[uren / jaar weekend]]*Tariefsopbouw!$D$40</f>
        <v>0</v>
      </c>
      <c r="AE313" s="86">
        <f>Ruimtestaat[[#This Row],[Prest. (m2 /jaar) weekend]]+Ruimtestaat[[#This Row],[Prest. (m2 /jaar) werkdagen]]</f>
        <v>11340</v>
      </c>
      <c r="AF313" s="86">
        <f>Ruimtestaat[[#This Row],[uren / jaar weekend]]+Ruimtestaat[[#This Row],[uren / jaar werkdagen]]</f>
        <v>0</v>
      </c>
      <c r="AG313" s="87">
        <f>Ruimtestaat[[#This Row],[kosten / jaar weekend]]+Ruimtestaat[[#This Row],[kosten / jaar werkdagen]]</f>
        <v>0</v>
      </c>
    </row>
    <row r="314" spans="1:33" ht="15" customHeight="1">
      <c r="A314" s="187">
        <v>4</v>
      </c>
      <c r="B314" s="21" t="str">
        <f>VLOOKUP(Ruimtestaat[[#This Row],[Code]],Locaties[#All],2,FALSE)</f>
        <v xml:space="preserve">Lyceumstraat </v>
      </c>
      <c r="C314" s="247" t="str">
        <f>VLOOKUP(Ruimtestaat[[#This Row],[Code]],Locaties[#All],4,FALSE)</f>
        <v>Lyceumstraat 36</v>
      </c>
      <c r="D314" s="247" t="str">
        <f>VLOOKUP(Ruimtestaat[[#This Row],[Code]],Locaties[#All],5,FALSE)</f>
        <v>7572 CR</v>
      </c>
      <c r="E314" s="187" t="str">
        <f>VLOOKUP(Ruimtestaat[[#This Row],[Code]],Locaties[#All],6,FALSE)</f>
        <v>Oldenzaal</v>
      </c>
      <c r="F314" s="248"/>
      <c r="G314" s="246">
        <v>2</v>
      </c>
      <c r="H314" s="246" t="s">
        <v>977</v>
      </c>
      <c r="I314" s="248" t="s">
        <v>465</v>
      </c>
      <c r="J314" s="187">
        <v>16</v>
      </c>
      <c r="K314" s="187" t="str">
        <f>VLOOKUP(Ruimtestaat[[#This Row],[Ruimte code]],Ruimtegroepen[#All],2,FALSE)</f>
        <v>Leslokalen/computerlokaal</v>
      </c>
      <c r="L314" s="247" t="s">
        <v>677</v>
      </c>
      <c r="M314" s="246" t="s">
        <v>1200</v>
      </c>
      <c r="N314" s="200">
        <v>57</v>
      </c>
      <c r="O314" s="200"/>
      <c r="P314" s="231" t="str">
        <f>VLOOKUP(Ruimtestaat[[#This Row],[Ruimte code]],Ruimtegroepen[#All],4,FALSE)</f>
        <v>L  (Lesruimte)</v>
      </c>
      <c r="Q314" s="201"/>
      <c r="R314" s="202">
        <v>42</v>
      </c>
      <c r="S314" s="202" t="s">
        <v>2</v>
      </c>
      <c r="T314" s="202">
        <f>IF(R314&gt;0,IF(RIGHT(Ruimtestaat[[#This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14" s="202">
        <f>IF(T314&gt;0,VLOOKUP($J314,Ruimtegroepen[],3,FALSE)*VLOOKUP($L314,Vloersoorten[],3,FALSE)*VLOOKUP($S314,Frequenties[],3,FALSE)*VLOOKUP($A314,Locaties[],3,FALSE),0)</f>
        <v>0</v>
      </c>
      <c r="V314" s="202">
        <f>Ruimtestaat[[#This Row],[Uitvoeringen werkdagen]]*Ruimtestaat[[#This Row],[Oppervlak (netto)]]</f>
        <v>11970</v>
      </c>
      <c r="W314" s="242">
        <f>IF(U314&gt;0,Ruimtestaat[[#This Row],[Prest. (m2 /jaar) werkdagen]]/Ruimtestaat[[#This Row],[Norm (m2/uur) werkdagen]],0)</f>
        <v>0</v>
      </c>
      <c r="X314" s="243">
        <f>Ruimtestaat[[#This Row],[uren / jaar werkdagen]]*Tariefsopbouw!$D$38</f>
        <v>0</v>
      </c>
      <c r="Y314" s="33"/>
      <c r="Z314" s="33">
        <f>IF(Ruimtestaat[[#This Row],[Frequentie weekend]]&gt;0,VALUE(LEFT(Y314,1))*R314,0)</f>
        <v>0</v>
      </c>
      <c r="AA314" s="33">
        <f>IF($Z314&gt;0,VLOOKUP($J314,Ruimtegroepen[],3,FALSE)*VLOOKUP($L314,Vloersoorten[],3,FALSE)*VLOOKUP($Y314,Frequenties[],3,FALSE)*VLOOKUP(#REF!,Locaties[],3,FALSE),0)</f>
        <v>0</v>
      </c>
      <c r="AB314" s="33"/>
      <c r="AC314" s="33"/>
      <c r="AD314" s="33">
        <f>Ruimtestaat[[#This Row],[uren / jaar weekend]]*Tariefsopbouw!$D$40</f>
        <v>0</v>
      </c>
      <c r="AE314" s="86">
        <f>Ruimtestaat[[#This Row],[Prest. (m2 /jaar) weekend]]+Ruimtestaat[[#This Row],[Prest. (m2 /jaar) werkdagen]]</f>
        <v>11970</v>
      </c>
      <c r="AF314" s="86">
        <f>Ruimtestaat[[#This Row],[uren / jaar weekend]]+Ruimtestaat[[#This Row],[uren / jaar werkdagen]]</f>
        <v>0</v>
      </c>
      <c r="AG314" s="87">
        <f>Ruimtestaat[[#This Row],[kosten / jaar weekend]]+Ruimtestaat[[#This Row],[kosten / jaar werkdagen]]</f>
        <v>0</v>
      </c>
    </row>
    <row r="315" spans="1:33" ht="15" customHeight="1">
      <c r="A315" s="187">
        <v>4</v>
      </c>
      <c r="B315" s="21" t="str">
        <f>VLOOKUP(Ruimtestaat[[#This Row],[Code]],Locaties[#All],2,FALSE)</f>
        <v xml:space="preserve">Lyceumstraat </v>
      </c>
      <c r="C315" s="247" t="str">
        <f>VLOOKUP(Ruimtestaat[[#This Row],[Code]],Locaties[#All],4,FALSE)</f>
        <v>Lyceumstraat 36</v>
      </c>
      <c r="D315" s="247" t="str">
        <f>VLOOKUP(Ruimtestaat[[#This Row],[Code]],Locaties[#All],5,FALSE)</f>
        <v>7572 CR</v>
      </c>
      <c r="E315" s="187" t="str">
        <f>VLOOKUP(Ruimtestaat[[#This Row],[Code]],Locaties[#All],6,FALSE)</f>
        <v>Oldenzaal</v>
      </c>
      <c r="F315" s="248"/>
      <c r="G315" s="246">
        <v>2</v>
      </c>
      <c r="H315" s="246" t="s">
        <v>978</v>
      </c>
      <c r="I315" s="248" t="s">
        <v>590</v>
      </c>
      <c r="J315" s="187">
        <v>2</v>
      </c>
      <c r="K315" s="187" t="str">
        <f>VLOOKUP(Ruimtestaat[[#This Row],[Ruimte code]],Ruimtegroepen[#All],2,FALSE)</f>
        <v>Kantoren/kantoortuin</v>
      </c>
      <c r="L315" s="247" t="s">
        <v>1204</v>
      </c>
      <c r="M315" s="246" t="s">
        <v>1205</v>
      </c>
      <c r="N315" s="200">
        <v>27</v>
      </c>
      <c r="O315" s="200"/>
      <c r="P315" s="231" t="str">
        <f>VLOOKUP(Ruimtestaat[[#This Row],[Ruimte code]],Ruimtegroepen[#All],4,FALSE)</f>
        <v>B  (Bureauruimte)</v>
      </c>
      <c r="Q315" s="201"/>
      <c r="R315" s="202">
        <v>42</v>
      </c>
      <c r="S315" s="202" t="s">
        <v>2</v>
      </c>
      <c r="T315" s="202">
        <f>IF(R315&gt;0,IF(RIGHT(Ruimtestaat[[#This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15" s="202">
        <f>IF(T315&gt;0,VLOOKUP($J315,Ruimtegroepen[],3,FALSE)*VLOOKUP($L315,Vloersoorten[],3,FALSE)*VLOOKUP($S315,Frequenties[],3,FALSE)*VLOOKUP($A315,Locaties[],3,FALSE),0)</f>
        <v>0</v>
      </c>
      <c r="V315" s="202">
        <f>Ruimtestaat[[#This Row],[Uitvoeringen werkdagen]]*Ruimtestaat[[#This Row],[Oppervlak (netto)]]</f>
        <v>5670</v>
      </c>
      <c r="W315" s="242">
        <f>IF(U315&gt;0,Ruimtestaat[[#This Row],[Prest. (m2 /jaar) werkdagen]]/Ruimtestaat[[#This Row],[Norm (m2/uur) werkdagen]],0)</f>
        <v>0</v>
      </c>
      <c r="X315" s="243">
        <f>Ruimtestaat[[#This Row],[uren / jaar werkdagen]]*Tariefsopbouw!$D$38</f>
        <v>0</v>
      </c>
      <c r="Y315" s="33"/>
      <c r="Z315" s="33">
        <f>IF(Ruimtestaat[[#This Row],[Frequentie weekend]]&gt;0,VALUE(LEFT(Y315,1))*R315,0)</f>
        <v>0</v>
      </c>
      <c r="AA315" s="33">
        <f>IF($Z315&gt;0,VLOOKUP($J315,Ruimtegroepen[],3,FALSE)*VLOOKUP($L315,Vloersoorten[],3,FALSE)*VLOOKUP($Y315,Frequenties[],3,FALSE)*VLOOKUP(#REF!,Locaties[],3,FALSE),0)</f>
        <v>0</v>
      </c>
      <c r="AB315" s="33"/>
      <c r="AC315" s="33"/>
      <c r="AD315" s="33">
        <f>Ruimtestaat[[#This Row],[uren / jaar weekend]]*Tariefsopbouw!$D$40</f>
        <v>0</v>
      </c>
      <c r="AE315" s="86">
        <f>Ruimtestaat[[#This Row],[Prest. (m2 /jaar) weekend]]+Ruimtestaat[[#This Row],[Prest. (m2 /jaar) werkdagen]]</f>
        <v>5670</v>
      </c>
      <c r="AF315" s="86">
        <f>Ruimtestaat[[#This Row],[uren / jaar weekend]]+Ruimtestaat[[#This Row],[uren / jaar werkdagen]]</f>
        <v>0</v>
      </c>
      <c r="AG315" s="87">
        <f>Ruimtestaat[[#This Row],[kosten / jaar weekend]]+Ruimtestaat[[#This Row],[kosten / jaar werkdagen]]</f>
        <v>0</v>
      </c>
    </row>
    <row r="316" spans="1:33" ht="15" customHeight="1">
      <c r="A316" s="187">
        <v>4</v>
      </c>
      <c r="B316" s="21" t="str">
        <f>VLOOKUP(Ruimtestaat[[#This Row],[Code]],Locaties[#All],2,FALSE)</f>
        <v xml:space="preserve">Lyceumstraat </v>
      </c>
      <c r="C316" s="247" t="str">
        <f>VLOOKUP(Ruimtestaat[[#This Row],[Code]],Locaties[#All],4,FALSE)</f>
        <v>Lyceumstraat 36</v>
      </c>
      <c r="D316" s="247" t="str">
        <f>VLOOKUP(Ruimtestaat[[#This Row],[Code]],Locaties[#All],5,FALSE)</f>
        <v>7572 CR</v>
      </c>
      <c r="E316" s="187" t="str">
        <f>VLOOKUP(Ruimtestaat[[#This Row],[Code]],Locaties[#All],6,FALSE)</f>
        <v>Oldenzaal</v>
      </c>
      <c r="F316" s="248"/>
      <c r="G316" s="246">
        <v>2</v>
      </c>
      <c r="H316" s="246" t="s">
        <v>979</v>
      </c>
      <c r="I316" s="248" t="s">
        <v>465</v>
      </c>
      <c r="J316" s="187">
        <v>16</v>
      </c>
      <c r="K316" s="187" t="str">
        <f>VLOOKUP(Ruimtestaat[[#This Row],[Ruimte code]],Ruimtegroepen[#All],2,FALSE)</f>
        <v>Leslokalen/computerlokaal</v>
      </c>
      <c r="L316" s="247" t="s">
        <v>677</v>
      </c>
      <c r="M316" s="246" t="s">
        <v>1200</v>
      </c>
      <c r="N316" s="200">
        <v>51</v>
      </c>
      <c r="O316" s="200"/>
      <c r="P316" s="231" t="str">
        <f>VLOOKUP(Ruimtestaat[[#This Row],[Ruimte code]],Ruimtegroepen[#All],4,FALSE)</f>
        <v>L  (Lesruimte)</v>
      </c>
      <c r="Q316" s="201"/>
      <c r="R316" s="202">
        <v>42</v>
      </c>
      <c r="S316" s="202" t="s">
        <v>2</v>
      </c>
      <c r="T316" s="202">
        <f>IF(R316&gt;0,IF(RIGHT(Ruimtestaat[[#This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16" s="202">
        <f>IF(T316&gt;0,VLOOKUP($J316,Ruimtegroepen[],3,FALSE)*VLOOKUP($L316,Vloersoorten[],3,FALSE)*VLOOKUP($S316,Frequenties[],3,FALSE)*VLOOKUP($A316,Locaties[],3,FALSE),0)</f>
        <v>0</v>
      </c>
      <c r="V316" s="202">
        <f>Ruimtestaat[[#This Row],[Uitvoeringen werkdagen]]*Ruimtestaat[[#This Row],[Oppervlak (netto)]]</f>
        <v>10710</v>
      </c>
      <c r="W316" s="242">
        <f>IF(U316&gt;0,Ruimtestaat[[#This Row],[Prest. (m2 /jaar) werkdagen]]/Ruimtestaat[[#This Row],[Norm (m2/uur) werkdagen]],0)</f>
        <v>0</v>
      </c>
      <c r="X316" s="243">
        <f>Ruimtestaat[[#This Row],[uren / jaar werkdagen]]*Tariefsopbouw!$D$38</f>
        <v>0</v>
      </c>
      <c r="Y316" s="33"/>
      <c r="Z316" s="33">
        <f>IF(Ruimtestaat[[#This Row],[Frequentie weekend]]&gt;0,VALUE(LEFT(Y316,1))*R316,0)</f>
        <v>0</v>
      </c>
      <c r="AA316" s="33">
        <f>IF($Z316&gt;0,VLOOKUP($J316,Ruimtegroepen[],3,FALSE)*VLOOKUP($L316,Vloersoorten[],3,FALSE)*VLOOKUP($Y316,Frequenties[],3,FALSE)*VLOOKUP(#REF!,Locaties[],3,FALSE),0)</f>
        <v>0</v>
      </c>
      <c r="AB316" s="33"/>
      <c r="AC316" s="33"/>
      <c r="AD316" s="33">
        <f>Ruimtestaat[[#This Row],[uren / jaar weekend]]*Tariefsopbouw!$D$40</f>
        <v>0</v>
      </c>
      <c r="AE316" s="86">
        <f>Ruimtestaat[[#This Row],[Prest. (m2 /jaar) weekend]]+Ruimtestaat[[#This Row],[Prest. (m2 /jaar) werkdagen]]</f>
        <v>10710</v>
      </c>
      <c r="AF316" s="86">
        <f>Ruimtestaat[[#This Row],[uren / jaar weekend]]+Ruimtestaat[[#This Row],[uren / jaar werkdagen]]</f>
        <v>0</v>
      </c>
      <c r="AG316" s="87">
        <f>Ruimtestaat[[#This Row],[kosten / jaar weekend]]+Ruimtestaat[[#This Row],[kosten / jaar werkdagen]]</f>
        <v>0</v>
      </c>
    </row>
    <row r="317" spans="1:33" ht="15" customHeight="1">
      <c r="A317" s="187">
        <v>4</v>
      </c>
      <c r="B317" s="21" t="str">
        <f>VLOOKUP(Ruimtestaat[[#This Row],[Code]],Locaties[#All],2,FALSE)</f>
        <v xml:space="preserve">Lyceumstraat </v>
      </c>
      <c r="C317" s="247" t="str">
        <f>VLOOKUP(Ruimtestaat[[#This Row],[Code]],Locaties[#All],4,FALSE)</f>
        <v>Lyceumstraat 36</v>
      </c>
      <c r="D317" s="247" t="str">
        <f>VLOOKUP(Ruimtestaat[[#This Row],[Code]],Locaties[#All],5,FALSE)</f>
        <v>7572 CR</v>
      </c>
      <c r="E317" s="187" t="str">
        <f>VLOOKUP(Ruimtestaat[[#This Row],[Code]],Locaties[#All],6,FALSE)</f>
        <v>Oldenzaal</v>
      </c>
      <c r="F317" s="248"/>
      <c r="G317" s="246">
        <v>2</v>
      </c>
      <c r="H317" s="246" t="s">
        <v>980</v>
      </c>
      <c r="I317" s="248" t="s">
        <v>981</v>
      </c>
      <c r="J317" s="187">
        <v>6</v>
      </c>
      <c r="K317" s="187" t="str">
        <f>VLOOKUP(Ruimtestaat[[#This Row],[Ruimte code]],Ruimtegroepen[#All],2,FALSE)</f>
        <v>Gangen/hallen</v>
      </c>
      <c r="L317" s="247" t="s">
        <v>677</v>
      </c>
      <c r="M317" s="246" t="s">
        <v>1200</v>
      </c>
      <c r="N317" s="200">
        <v>25</v>
      </c>
      <c r="O317" s="200"/>
      <c r="P317" s="231" t="str">
        <f>VLOOKUP(Ruimtestaat[[#This Row],[Ruimte code]],Ruimtegroepen[#All],4,FALSE)</f>
        <v>V  (Verkeersruimte)</v>
      </c>
      <c r="Q317" s="201"/>
      <c r="R317" s="202">
        <v>42</v>
      </c>
      <c r="S317" s="202" t="s">
        <v>15</v>
      </c>
      <c r="T317" s="202">
        <f>IF(R317&gt;0,IF(RIGHT(Ruimtestaat[[#This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317" s="202">
        <f>IF(T317&gt;0,VLOOKUP($J317,Ruimtegroepen[],3,FALSE)*VLOOKUP($L317,Vloersoorten[],3,FALSE)*VLOOKUP($S317,Frequenties[],3,FALSE)*VLOOKUP($A317,Locaties[],3,FALSE),0)</f>
        <v>0</v>
      </c>
      <c r="V317" s="202">
        <f>Ruimtestaat[[#This Row],[Uitvoeringen werkdagen]]*Ruimtestaat[[#This Row],[Oppervlak (netto)]]</f>
        <v>1050</v>
      </c>
      <c r="W317" s="242">
        <f>IF(U317&gt;0,Ruimtestaat[[#This Row],[Prest. (m2 /jaar) werkdagen]]/Ruimtestaat[[#This Row],[Norm (m2/uur) werkdagen]],0)</f>
        <v>0</v>
      </c>
      <c r="X317" s="243">
        <f>Ruimtestaat[[#This Row],[uren / jaar werkdagen]]*Tariefsopbouw!$D$38</f>
        <v>0</v>
      </c>
      <c r="Y317" s="33"/>
      <c r="Z317" s="33">
        <f>IF(Ruimtestaat[[#This Row],[Frequentie weekend]]&gt;0,VALUE(LEFT(Y317,1))*R317,0)</f>
        <v>0</v>
      </c>
      <c r="AA317" s="33">
        <f>IF($Z317&gt;0,VLOOKUP($J317,Ruimtegroepen[],3,FALSE)*VLOOKUP($L317,Vloersoorten[],3,FALSE)*VLOOKUP($Y317,Frequenties[],3,FALSE)*VLOOKUP(#REF!,Locaties[],3,FALSE),0)</f>
        <v>0</v>
      </c>
      <c r="AB317" s="33"/>
      <c r="AC317" s="33"/>
      <c r="AD317" s="33">
        <f>Ruimtestaat[[#This Row],[uren / jaar weekend]]*Tariefsopbouw!$D$40</f>
        <v>0</v>
      </c>
      <c r="AE317" s="86">
        <f>Ruimtestaat[[#This Row],[Prest. (m2 /jaar) weekend]]+Ruimtestaat[[#This Row],[Prest. (m2 /jaar) werkdagen]]</f>
        <v>1050</v>
      </c>
      <c r="AF317" s="86">
        <f>Ruimtestaat[[#This Row],[uren / jaar weekend]]+Ruimtestaat[[#This Row],[uren / jaar werkdagen]]</f>
        <v>0</v>
      </c>
      <c r="AG317" s="87">
        <f>Ruimtestaat[[#This Row],[kosten / jaar weekend]]+Ruimtestaat[[#This Row],[kosten / jaar werkdagen]]</f>
        <v>0</v>
      </c>
    </row>
    <row r="318" spans="1:33" ht="15" customHeight="1">
      <c r="A318" s="187">
        <v>4</v>
      </c>
      <c r="B318" s="21" t="str">
        <f>VLOOKUP(Ruimtestaat[[#This Row],[Code]],Locaties[#All],2,FALSE)</f>
        <v xml:space="preserve">Lyceumstraat </v>
      </c>
      <c r="C318" s="247" t="str">
        <f>VLOOKUP(Ruimtestaat[[#This Row],[Code]],Locaties[#All],4,FALSE)</f>
        <v>Lyceumstraat 36</v>
      </c>
      <c r="D318" s="247" t="str">
        <f>VLOOKUP(Ruimtestaat[[#This Row],[Code]],Locaties[#All],5,FALSE)</f>
        <v>7572 CR</v>
      </c>
      <c r="E318" s="187" t="str">
        <f>VLOOKUP(Ruimtestaat[[#This Row],[Code]],Locaties[#All],6,FALSE)</f>
        <v>Oldenzaal</v>
      </c>
      <c r="F318" s="248"/>
      <c r="G318" s="246">
        <v>2</v>
      </c>
      <c r="H318" s="246" t="s">
        <v>982</v>
      </c>
      <c r="I318" s="248" t="s">
        <v>591</v>
      </c>
      <c r="J318" s="187">
        <v>5</v>
      </c>
      <c r="K318" s="187" t="str">
        <f>VLOOKUP(Ruimtestaat[[#This Row],[Ruimte code]],Ruimtegroepen[#All],2,FALSE)</f>
        <v>Sanitair</v>
      </c>
      <c r="L318" s="247" t="s">
        <v>677</v>
      </c>
      <c r="M318" s="246" t="s">
        <v>1200</v>
      </c>
      <c r="N318" s="200">
        <v>9</v>
      </c>
      <c r="O318" s="200"/>
      <c r="P318" s="231" t="str">
        <f>VLOOKUP(Ruimtestaat[[#This Row],[Ruimte code]],Ruimtegroepen[#All],4,FALSE)</f>
        <v>S  (Sanitair)</v>
      </c>
      <c r="Q318" s="201"/>
      <c r="R318" s="202">
        <v>42</v>
      </c>
      <c r="S318" s="202" t="s">
        <v>19</v>
      </c>
      <c r="T318" s="202">
        <f>IF(R318&gt;0,IF(RIGHT(Ruimtestaat[[#This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318" s="202">
        <f>IF(T318&gt;0,VLOOKUP($J318,Ruimtegroepen[],3,FALSE)*VLOOKUP($L318,Vloersoorten[],3,FALSE)*VLOOKUP($S318,Frequenties[],3,FALSE)*VLOOKUP($A318,Locaties[],3,FALSE),0)</f>
        <v>0</v>
      </c>
      <c r="V318" s="202">
        <f>Ruimtestaat[[#This Row],[Uitvoeringen werkdagen]]*Ruimtestaat[[#This Row],[Oppervlak (netto)]]</f>
        <v>3780</v>
      </c>
      <c r="W318" s="242">
        <f>IF(U318&gt;0,Ruimtestaat[[#This Row],[Prest. (m2 /jaar) werkdagen]]/Ruimtestaat[[#This Row],[Norm (m2/uur) werkdagen]],0)</f>
        <v>0</v>
      </c>
      <c r="X318" s="243">
        <f>Ruimtestaat[[#This Row],[uren / jaar werkdagen]]*Tariefsopbouw!$D$38</f>
        <v>0</v>
      </c>
      <c r="Y318" s="33"/>
      <c r="Z318" s="33">
        <f>IF(Ruimtestaat[[#This Row],[Frequentie weekend]]&gt;0,VALUE(LEFT(Y318,1))*R318,0)</f>
        <v>0</v>
      </c>
      <c r="AA318" s="33">
        <f>IF($Z318&gt;0,VLOOKUP($J318,Ruimtegroepen[],3,FALSE)*VLOOKUP($L318,Vloersoorten[],3,FALSE)*VLOOKUP($Y318,Frequenties[],3,FALSE)*VLOOKUP(#REF!,Locaties[],3,FALSE),0)</f>
        <v>0</v>
      </c>
      <c r="AB318" s="33"/>
      <c r="AC318" s="33"/>
      <c r="AD318" s="33">
        <f>Ruimtestaat[[#This Row],[uren / jaar weekend]]*Tariefsopbouw!$D$40</f>
        <v>0</v>
      </c>
      <c r="AE318" s="86">
        <f>Ruimtestaat[[#This Row],[Prest. (m2 /jaar) weekend]]+Ruimtestaat[[#This Row],[Prest. (m2 /jaar) werkdagen]]</f>
        <v>3780</v>
      </c>
      <c r="AF318" s="86">
        <f>Ruimtestaat[[#This Row],[uren / jaar weekend]]+Ruimtestaat[[#This Row],[uren / jaar werkdagen]]</f>
        <v>0</v>
      </c>
      <c r="AG318" s="87">
        <f>Ruimtestaat[[#This Row],[kosten / jaar weekend]]+Ruimtestaat[[#This Row],[kosten / jaar werkdagen]]</f>
        <v>0</v>
      </c>
    </row>
    <row r="319" spans="1:33" ht="15" customHeight="1">
      <c r="A319" s="187">
        <v>4</v>
      </c>
      <c r="B319" s="21" t="str">
        <f>VLOOKUP(Ruimtestaat[[#This Row],[Code]],Locaties[#All],2,FALSE)</f>
        <v xml:space="preserve">Lyceumstraat </v>
      </c>
      <c r="C319" s="247" t="str">
        <f>VLOOKUP(Ruimtestaat[[#This Row],[Code]],Locaties[#All],4,FALSE)</f>
        <v>Lyceumstraat 36</v>
      </c>
      <c r="D319" s="247" t="str">
        <f>VLOOKUP(Ruimtestaat[[#This Row],[Code]],Locaties[#All],5,FALSE)</f>
        <v>7572 CR</v>
      </c>
      <c r="E319" s="187" t="str">
        <f>VLOOKUP(Ruimtestaat[[#This Row],[Code]],Locaties[#All],6,FALSE)</f>
        <v>Oldenzaal</v>
      </c>
      <c r="F319" s="248"/>
      <c r="G319" s="246">
        <v>2</v>
      </c>
      <c r="H319" s="246" t="s">
        <v>983</v>
      </c>
      <c r="I319" s="248" t="s">
        <v>608</v>
      </c>
      <c r="J319" s="187">
        <v>5</v>
      </c>
      <c r="K319" s="187" t="str">
        <f>VLOOKUP(Ruimtestaat[[#This Row],[Ruimte code]],Ruimtegroepen[#All],2,FALSE)</f>
        <v>Sanitair</v>
      </c>
      <c r="L319" s="247" t="s">
        <v>677</v>
      </c>
      <c r="M319" s="246" t="s">
        <v>1200</v>
      </c>
      <c r="N319" s="200">
        <v>6</v>
      </c>
      <c r="O319" s="200"/>
      <c r="P319" s="231" t="str">
        <f>VLOOKUP(Ruimtestaat[[#This Row],[Ruimte code]],Ruimtegroepen[#All],4,FALSE)</f>
        <v>S  (Sanitair)</v>
      </c>
      <c r="Q319" s="201"/>
      <c r="R319" s="202">
        <v>42</v>
      </c>
      <c r="S319" s="202" t="s">
        <v>19</v>
      </c>
      <c r="T319" s="202">
        <f>IF(R319&gt;0,IF(RIGHT(Ruimtestaat[[#This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319" s="202">
        <f>IF(T319&gt;0,VLOOKUP($J319,Ruimtegroepen[],3,FALSE)*VLOOKUP($L319,Vloersoorten[],3,FALSE)*VLOOKUP($S319,Frequenties[],3,FALSE)*VLOOKUP($A319,Locaties[],3,FALSE),0)</f>
        <v>0</v>
      </c>
      <c r="V319" s="202">
        <f>Ruimtestaat[[#This Row],[Uitvoeringen werkdagen]]*Ruimtestaat[[#This Row],[Oppervlak (netto)]]</f>
        <v>2520</v>
      </c>
      <c r="W319" s="242">
        <f>IF(U319&gt;0,Ruimtestaat[[#This Row],[Prest. (m2 /jaar) werkdagen]]/Ruimtestaat[[#This Row],[Norm (m2/uur) werkdagen]],0)</f>
        <v>0</v>
      </c>
      <c r="X319" s="243">
        <f>Ruimtestaat[[#This Row],[uren / jaar werkdagen]]*Tariefsopbouw!$D$38</f>
        <v>0</v>
      </c>
      <c r="Y319" s="33"/>
      <c r="Z319" s="33">
        <f>IF(Ruimtestaat[[#This Row],[Frequentie weekend]]&gt;0,VALUE(LEFT(Y319,1))*R319,0)</f>
        <v>0</v>
      </c>
      <c r="AA319" s="33">
        <f>IF($Z319&gt;0,VLOOKUP($J319,Ruimtegroepen[],3,FALSE)*VLOOKUP($L319,Vloersoorten[],3,FALSE)*VLOOKUP($Y319,Frequenties[],3,FALSE)*VLOOKUP(#REF!,Locaties[],3,FALSE),0)</f>
        <v>0</v>
      </c>
      <c r="AB319" s="33"/>
      <c r="AC319" s="33"/>
      <c r="AD319" s="33">
        <f>Ruimtestaat[[#This Row],[uren / jaar weekend]]*Tariefsopbouw!$D$40</f>
        <v>0</v>
      </c>
      <c r="AE319" s="86">
        <f>Ruimtestaat[[#This Row],[Prest. (m2 /jaar) weekend]]+Ruimtestaat[[#This Row],[Prest. (m2 /jaar) werkdagen]]</f>
        <v>2520</v>
      </c>
      <c r="AF319" s="86">
        <f>Ruimtestaat[[#This Row],[uren / jaar weekend]]+Ruimtestaat[[#This Row],[uren / jaar werkdagen]]</f>
        <v>0</v>
      </c>
      <c r="AG319" s="87">
        <f>Ruimtestaat[[#This Row],[kosten / jaar weekend]]+Ruimtestaat[[#This Row],[kosten / jaar werkdagen]]</f>
        <v>0</v>
      </c>
    </row>
    <row r="320" spans="1:33" ht="15" customHeight="1">
      <c r="A320" s="187">
        <v>4</v>
      </c>
      <c r="B320" s="21" t="str">
        <f>VLOOKUP(Ruimtestaat[[#This Row],[Code]],Locaties[#All],2,FALSE)</f>
        <v xml:space="preserve">Lyceumstraat </v>
      </c>
      <c r="C320" s="247" t="str">
        <f>VLOOKUP(Ruimtestaat[[#This Row],[Code]],Locaties[#All],4,FALSE)</f>
        <v>Lyceumstraat 36</v>
      </c>
      <c r="D320" s="247" t="str">
        <f>VLOOKUP(Ruimtestaat[[#This Row],[Code]],Locaties[#All],5,FALSE)</f>
        <v>7572 CR</v>
      </c>
      <c r="E320" s="187" t="str">
        <f>VLOOKUP(Ruimtestaat[[#This Row],[Code]],Locaties[#All],6,FALSE)</f>
        <v>Oldenzaal</v>
      </c>
      <c r="F320" s="248"/>
      <c r="G320" s="246">
        <v>2</v>
      </c>
      <c r="H320" s="246" t="s">
        <v>984</v>
      </c>
      <c r="I320" s="248" t="s">
        <v>414</v>
      </c>
      <c r="J320" s="187">
        <v>6</v>
      </c>
      <c r="K320" s="187" t="str">
        <f>VLOOKUP(Ruimtestaat[[#This Row],[Ruimte code]],Ruimtegroepen[#All],2,FALSE)</f>
        <v>Gangen/hallen</v>
      </c>
      <c r="L320" s="202" t="s">
        <v>108</v>
      </c>
      <c r="M320" s="246" t="s">
        <v>1201</v>
      </c>
      <c r="N320" s="200">
        <v>63</v>
      </c>
      <c r="O320" s="200"/>
      <c r="P320" s="231" t="str">
        <f>VLOOKUP(Ruimtestaat[[#This Row],[Ruimte code]],Ruimtegroepen[#All],4,FALSE)</f>
        <v>V  (Verkeersruimte)</v>
      </c>
      <c r="Q320" s="201"/>
      <c r="R320" s="202">
        <v>42</v>
      </c>
      <c r="S320" s="202" t="s">
        <v>2</v>
      </c>
      <c r="T320" s="202">
        <f>IF(R320&gt;0,IF(RIGHT(Ruimtestaat[[#This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20" s="202">
        <f>IF(T320&gt;0,VLOOKUP($J320,Ruimtegroepen[],3,FALSE)*VLOOKUP($L320,Vloersoorten[],3,FALSE)*VLOOKUP($S320,Frequenties[],3,FALSE)*VLOOKUP($A320,Locaties[],3,FALSE),0)</f>
        <v>0</v>
      </c>
      <c r="V320" s="202">
        <f>Ruimtestaat[[#This Row],[Uitvoeringen werkdagen]]*Ruimtestaat[[#This Row],[Oppervlak (netto)]]</f>
        <v>13230</v>
      </c>
      <c r="W320" s="242">
        <f>IF(U320&gt;0,Ruimtestaat[[#This Row],[Prest. (m2 /jaar) werkdagen]]/Ruimtestaat[[#This Row],[Norm (m2/uur) werkdagen]],0)</f>
        <v>0</v>
      </c>
      <c r="X320" s="243">
        <f>Ruimtestaat[[#This Row],[uren / jaar werkdagen]]*Tariefsopbouw!$D$38</f>
        <v>0</v>
      </c>
      <c r="Y320" s="33"/>
      <c r="Z320" s="33">
        <f>IF(Ruimtestaat[[#This Row],[Frequentie weekend]]&gt;0,VALUE(LEFT(Y320,1))*R320,0)</f>
        <v>0</v>
      </c>
      <c r="AA320" s="33">
        <f>IF($Z320&gt;0,VLOOKUP($J320,Ruimtegroepen[],3,FALSE)*VLOOKUP($L320,Vloersoorten[],3,FALSE)*VLOOKUP($Y320,Frequenties[],3,FALSE)*VLOOKUP(#REF!,Locaties[],3,FALSE),0)</f>
        <v>0</v>
      </c>
      <c r="AB320" s="33"/>
      <c r="AC320" s="33"/>
      <c r="AD320" s="33">
        <f>Ruimtestaat[[#This Row],[uren / jaar weekend]]*Tariefsopbouw!$D$40</f>
        <v>0</v>
      </c>
      <c r="AE320" s="86">
        <f>Ruimtestaat[[#This Row],[Prest. (m2 /jaar) weekend]]+Ruimtestaat[[#This Row],[Prest. (m2 /jaar) werkdagen]]</f>
        <v>13230</v>
      </c>
      <c r="AF320" s="86">
        <f>Ruimtestaat[[#This Row],[uren / jaar weekend]]+Ruimtestaat[[#This Row],[uren / jaar werkdagen]]</f>
        <v>0</v>
      </c>
      <c r="AG320" s="87">
        <f>Ruimtestaat[[#This Row],[kosten / jaar weekend]]+Ruimtestaat[[#This Row],[kosten / jaar werkdagen]]</f>
        <v>0</v>
      </c>
    </row>
    <row r="321" spans="1:33" ht="15" customHeight="1">
      <c r="A321" s="187">
        <v>4</v>
      </c>
      <c r="B321" s="21" t="str">
        <f>VLOOKUP(Ruimtestaat[[#This Row],[Code]],Locaties[#All],2,FALSE)</f>
        <v xml:space="preserve">Lyceumstraat </v>
      </c>
      <c r="C321" s="247" t="str">
        <f>VLOOKUP(Ruimtestaat[[#This Row],[Code]],Locaties[#All],4,FALSE)</f>
        <v>Lyceumstraat 36</v>
      </c>
      <c r="D321" s="247" t="str">
        <f>VLOOKUP(Ruimtestaat[[#This Row],[Code]],Locaties[#All],5,FALSE)</f>
        <v>7572 CR</v>
      </c>
      <c r="E321" s="187" t="str">
        <f>VLOOKUP(Ruimtestaat[[#This Row],[Code]],Locaties[#All],6,FALSE)</f>
        <v>Oldenzaal</v>
      </c>
      <c r="F321" s="248"/>
      <c r="G321" s="246">
        <v>2</v>
      </c>
      <c r="H321" s="246" t="s">
        <v>985</v>
      </c>
      <c r="I321" s="248" t="s">
        <v>414</v>
      </c>
      <c r="J321" s="187">
        <v>6</v>
      </c>
      <c r="K321" s="187" t="str">
        <f>VLOOKUP(Ruimtestaat[[#This Row],[Ruimte code]],Ruimtegroepen[#All],2,FALSE)</f>
        <v>Gangen/hallen</v>
      </c>
      <c r="L321" s="247" t="s">
        <v>677</v>
      </c>
      <c r="M321" s="246" t="s">
        <v>1200</v>
      </c>
      <c r="N321" s="200">
        <v>140</v>
      </c>
      <c r="O321" s="200"/>
      <c r="P321" s="231" t="str">
        <f>VLOOKUP(Ruimtestaat[[#This Row],[Ruimte code]],Ruimtegroepen[#All],4,FALSE)</f>
        <v>V  (Verkeersruimte)</v>
      </c>
      <c r="Q321" s="201"/>
      <c r="R321" s="202">
        <v>42</v>
      </c>
      <c r="S321" s="202" t="s">
        <v>2</v>
      </c>
      <c r="T321" s="202">
        <f>IF(R321&gt;0,IF(RIGHT(Ruimtestaat[[#This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21" s="202">
        <f>IF(T321&gt;0,VLOOKUP($J321,Ruimtegroepen[],3,FALSE)*VLOOKUP($L321,Vloersoorten[],3,FALSE)*VLOOKUP($S321,Frequenties[],3,FALSE)*VLOOKUP($A321,Locaties[],3,FALSE),0)</f>
        <v>0</v>
      </c>
      <c r="V321" s="202">
        <f>Ruimtestaat[[#This Row],[Uitvoeringen werkdagen]]*Ruimtestaat[[#This Row],[Oppervlak (netto)]]</f>
        <v>29400</v>
      </c>
      <c r="W321" s="242">
        <f>IF(U321&gt;0,Ruimtestaat[[#This Row],[Prest. (m2 /jaar) werkdagen]]/Ruimtestaat[[#This Row],[Norm (m2/uur) werkdagen]],0)</f>
        <v>0</v>
      </c>
      <c r="X321" s="243">
        <f>Ruimtestaat[[#This Row],[uren / jaar werkdagen]]*Tariefsopbouw!$D$38</f>
        <v>0</v>
      </c>
      <c r="Y321" s="33"/>
      <c r="Z321" s="33">
        <f>IF(Ruimtestaat[[#This Row],[Frequentie weekend]]&gt;0,VALUE(LEFT(Y321,1))*R321,0)</f>
        <v>0</v>
      </c>
      <c r="AA321" s="33">
        <f>IF($Z321&gt;0,VLOOKUP($J321,Ruimtegroepen[],3,FALSE)*VLOOKUP($L321,Vloersoorten[],3,FALSE)*VLOOKUP($Y321,Frequenties[],3,FALSE)*VLOOKUP(#REF!,Locaties[],3,FALSE),0)</f>
        <v>0</v>
      </c>
      <c r="AB321" s="33"/>
      <c r="AC321" s="33"/>
      <c r="AD321" s="33">
        <f>Ruimtestaat[[#This Row],[uren / jaar weekend]]*Tariefsopbouw!$D$40</f>
        <v>0</v>
      </c>
      <c r="AE321" s="86">
        <f>Ruimtestaat[[#This Row],[Prest. (m2 /jaar) weekend]]+Ruimtestaat[[#This Row],[Prest. (m2 /jaar) werkdagen]]</f>
        <v>29400</v>
      </c>
      <c r="AF321" s="86">
        <f>Ruimtestaat[[#This Row],[uren / jaar weekend]]+Ruimtestaat[[#This Row],[uren / jaar werkdagen]]</f>
        <v>0</v>
      </c>
      <c r="AG321" s="87">
        <f>Ruimtestaat[[#This Row],[kosten / jaar weekend]]+Ruimtestaat[[#This Row],[kosten / jaar werkdagen]]</f>
        <v>0</v>
      </c>
    </row>
    <row r="322" spans="1:33" ht="15" customHeight="1">
      <c r="A322" s="187">
        <v>4</v>
      </c>
      <c r="B322" s="21" t="str">
        <f>VLOOKUP(Ruimtestaat[[#This Row],[Code]],Locaties[#All],2,FALSE)</f>
        <v xml:space="preserve">Lyceumstraat </v>
      </c>
      <c r="C322" s="247" t="str">
        <f>VLOOKUP(Ruimtestaat[[#This Row],[Code]],Locaties[#All],4,FALSE)</f>
        <v>Lyceumstraat 36</v>
      </c>
      <c r="D322" s="247" t="str">
        <f>VLOOKUP(Ruimtestaat[[#This Row],[Code]],Locaties[#All],5,FALSE)</f>
        <v>7572 CR</v>
      </c>
      <c r="E322" s="187" t="str">
        <f>VLOOKUP(Ruimtestaat[[#This Row],[Code]],Locaties[#All],6,FALSE)</f>
        <v>Oldenzaal</v>
      </c>
      <c r="F322" s="248"/>
      <c r="G322" s="246">
        <v>2</v>
      </c>
      <c r="H322" s="246" t="s">
        <v>986</v>
      </c>
      <c r="I322" s="248" t="s">
        <v>596</v>
      </c>
      <c r="J322" s="187">
        <v>10</v>
      </c>
      <c r="K322" s="187" t="str">
        <f>VLOOKUP(Ruimtestaat[[#This Row],[Ruimte code]],Ruimtegroepen[#All],2,FALSE)</f>
        <v>Trappenhuizen/lift</v>
      </c>
      <c r="L322" s="202" t="s">
        <v>108</v>
      </c>
      <c r="M322" s="246" t="s">
        <v>1201</v>
      </c>
      <c r="N322" s="200">
        <v>46</v>
      </c>
      <c r="O322" s="200"/>
      <c r="P322" s="231" t="str">
        <f>VLOOKUP(Ruimtestaat[[#This Row],[Ruimte code]],Ruimtegroepen[#All],4,FALSE)</f>
        <v>V  (Verkeersruimte)</v>
      </c>
      <c r="Q322" s="201"/>
      <c r="R322" s="202">
        <v>42</v>
      </c>
      <c r="S322" s="202" t="s">
        <v>2</v>
      </c>
      <c r="T322" s="202">
        <f>IF(R322&gt;0,IF(RIGHT(Ruimtestaat[[#This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22" s="202">
        <f>IF(T322&gt;0,VLOOKUP($J322,Ruimtegroepen[],3,FALSE)*VLOOKUP($L322,Vloersoorten[],3,FALSE)*VLOOKUP($S322,Frequenties[],3,FALSE)*VLOOKUP($A322,Locaties[],3,FALSE),0)</f>
        <v>0</v>
      </c>
      <c r="V322" s="202">
        <f>Ruimtestaat[[#This Row],[Uitvoeringen werkdagen]]*Ruimtestaat[[#This Row],[Oppervlak (netto)]]</f>
        <v>9660</v>
      </c>
      <c r="W322" s="242">
        <f>IF(U322&gt;0,Ruimtestaat[[#This Row],[Prest. (m2 /jaar) werkdagen]]/Ruimtestaat[[#This Row],[Norm (m2/uur) werkdagen]],0)</f>
        <v>0</v>
      </c>
      <c r="X322" s="243">
        <f>Ruimtestaat[[#This Row],[uren / jaar werkdagen]]*Tariefsopbouw!$D$38</f>
        <v>0</v>
      </c>
      <c r="Y322" s="33"/>
      <c r="Z322" s="33">
        <f>IF(Ruimtestaat[[#This Row],[Frequentie weekend]]&gt;0,VALUE(LEFT(Y322,1))*R322,0)</f>
        <v>0</v>
      </c>
      <c r="AA322" s="33">
        <f>IF($Z322&gt;0,VLOOKUP($J322,Ruimtegroepen[],3,FALSE)*VLOOKUP($L322,Vloersoorten[],3,FALSE)*VLOOKUP($Y322,Frequenties[],3,FALSE)*VLOOKUP(#REF!,Locaties[],3,FALSE),0)</f>
        <v>0</v>
      </c>
      <c r="AB322" s="33"/>
      <c r="AC322" s="33"/>
      <c r="AD322" s="33">
        <f>Ruimtestaat[[#This Row],[uren / jaar weekend]]*Tariefsopbouw!$D$40</f>
        <v>0</v>
      </c>
      <c r="AE322" s="86">
        <f>Ruimtestaat[[#This Row],[Prest. (m2 /jaar) weekend]]+Ruimtestaat[[#This Row],[Prest. (m2 /jaar) werkdagen]]</f>
        <v>9660</v>
      </c>
      <c r="AF322" s="86">
        <f>Ruimtestaat[[#This Row],[uren / jaar weekend]]+Ruimtestaat[[#This Row],[uren / jaar werkdagen]]</f>
        <v>0</v>
      </c>
      <c r="AG322" s="87">
        <f>Ruimtestaat[[#This Row],[kosten / jaar weekend]]+Ruimtestaat[[#This Row],[kosten / jaar werkdagen]]</f>
        <v>0</v>
      </c>
    </row>
    <row r="323" spans="1:33" ht="15" customHeight="1">
      <c r="A323" s="187">
        <v>4</v>
      </c>
      <c r="B323" s="21" t="str">
        <f>VLOOKUP(Ruimtestaat[[#This Row],[Code]],Locaties[#All],2,FALSE)</f>
        <v xml:space="preserve">Lyceumstraat </v>
      </c>
      <c r="C323" s="247" t="str">
        <f>VLOOKUP(Ruimtestaat[[#This Row],[Code]],Locaties[#All],4,FALSE)</f>
        <v>Lyceumstraat 36</v>
      </c>
      <c r="D323" s="247" t="str">
        <f>VLOOKUP(Ruimtestaat[[#This Row],[Code]],Locaties[#All],5,FALSE)</f>
        <v>7572 CR</v>
      </c>
      <c r="E323" s="187" t="str">
        <f>VLOOKUP(Ruimtestaat[[#This Row],[Code]],Locaties[#All],6,FALSE)</f>
        <v>Oldenzaal</v>
      </c>
      <c r="F323" s="248"/>
      <c r="G323" s="246" t="s">
        <v>679</v>
      </c>
      <c r="H323" s="246" t="s">
        <v>987</v>
      </c>
      <c r="I323" s="248" t="s">
        <v>608</v>
      </c>
      <c r="J323" s="187">
        <v>5</v>
      </c>
      <c r="K323" s="187" t="str">
        <f>VLOOKUP(Ruimtestaat[[#This Row],[Ruimte code]],Ruimtegroepen[#All],2,FALSE)</f>
        <v>Sanitair</v>
      </c>
      <c r="L323" s="247" t="s">
        <v>677</v>
      </c>
      <c r="M323" s="249" t="s">
        <v>1200</v>
      </c>
      <c r="N323" s="200">
        <v>15</v>
      </c>
      <c r="O323" s="190"/>
      <c r="P323" s="231" t="str">
        <f>VLOOKUP(Ruimtestaat[[#This Row],[Ruimte code]],Ruimtegroepen[#All],4,FALSE)</f>
        <v>S  (Sanitair)</v>
      </c>
      <c r="Q323" s="201"/>
      <c r="R323" s="202">
        <v>42</v>
      </c>
      <c r="S323" s="202" t="s">
        <v>19</v>
      </c>
      <c r="T323" s="202">
        <f>IF(R323&gt;0,IF(RIGHT(Ruimtestaat[[#This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323" s="202">
        <f>IF(T323&gt;0,VLOOKUP($J323,Ruimtegroepen[],3,FALSE)*VLOOKUP($L323,Vloersoorten[],3,FALSE)*VLOOKUP($S323,Frequenties[],3,FALSE)*VLOOKUP($A323,Locaties[],3,FALSE),0)</f>
        <v>0</v>
      </c>
      <c r="V323" s="202">
        <f>Ruimtestaat[[#This Row],[Uitvoeringen werkdagen]]*Ruimtestaat[[#This Row],[Oppervlak (netto)]]</f>
        <v>6300</v>
      </c>
      <c r="W323" s="242">
        <f>IF(U323&gt;0,Ruimtestaat[[#This Row],[Prest. (m2 /jaar) werkdagen]]/Ruimtestaat[[#This Row],[Norm (m2/uur) werkdagen]],0)</f>
        <v>0</v>
      </c>
      <c r="X323" s="243">
        <f>Ruimtestaat[[#This Row],[uren / jaar werkdagen]]*Tariefsopbouw!$D$38</f>
        <v>0</v>
      </c>
      <c r="Y323" s="33"/>
      <c r="Z323" s="33">
        <f>IF(Ruimtestaat[[#This Row],[Frequentie weekend]]&gt;0,VALUE(LEFT(Y323,1))*R323,0)</f>
        <v>0</v>
      </c>
      <c r="AA323" s="33">
        <f>IF($Z323&gt;0,VLOOKUP($J323,Ruimtegroepen[],3,FALSE)*VLOOKUP($L323,Vloersoorten[],3,FALSE)*VLOOKUP($Y323,Frequenties[],3,FALSE)*VLOOKUP(#REF!,Locaties[],3,FALSE),0)</f>
        <v>0</v>
      </c>
      <c r="AB323" s="33"/>
      <c r="AC323" s="33"/>
      <c r="AD323" s="33">
        <f>Ruimtestaat[[#This Row],[uren / jaar weekend]]*Tariefsopbouw!$D$40</f>
        <v>0</v>
      </c>
      <c r="AE323" s="86">
        <f>Ruimtestaat[[#This Row],[Prest. (m2 /jaar) weekend]]+Ruimtestaat[[#This Row],[Prest. (m2 /jaar) werkdagen]]</f>
        <v>6300</v>
      </c>
      <c r="AF323" s="86">
        <f>Ruimtestaat[[#This Row],[uren / jaar weekend]]+Ruimtestaat[[#This Row],[uren / jaar werkdagen]]</f>
        <v>0</v>
      </c>
      <c r="AG323" s="87">
        <f>Ruimtestaat[[#This Row],[kosten / jaar weekend]]+Ruimtestaat[[#This Row],[kosten / jaar werkdagen]]</f>
        <v>0</v>
      </c>
    </row>
    <row r="324" spans="1:33" ht="15" customHeight="1">
      <c r="A324" s="187">
        <v>4</v>
      </c>
      <c r="B324" s="21" t="str">
        <f>VLOOKUP(Ruimtestaat[[#This Row],[Code]],Locaties[#All],2,FALSE)</f>
        <v xml:space="preserve">Lyceumstraat </v>
      </c>
      <c r="C324" s="247" t="str">
        <f>VLOOKUP(Ruimtestaat[[#This Row],[Code]],Locaties[#All],4,FALSE)</f>
        <v>Lyceumstraat 36</v>
      </c>
      <c r="D324" s="247" t="str">
        <f>VLOOKUP(Ruimtestaat[[#This Row],[Code]],Locaties[#All],5,FALSE)</f>
        <v>7572 CR</v>
      </c>
      <c r="E324" s="187" t="str">
        <f>VLOOKUP(Ruimtestaat[[#This Row],[Code]],Locaties[#All],6,FALSE)</f>
        <v>Oldenzaal</v>
      </c>
      <c r="F324" s="248"/>
      <c r="G324" s="246" t="s">
        <v>679</v>
      </c>
      <c r="H324" s="246" t="s">
        <v>988</v>
      </c>
      <c r="I324" s="248" t="s">
        <v>591</v>
      </c>
      <c r="J324" s="187">
        <v>5</v>
      </c>
      <c r="K324" s="187" t="str">
        <f>VLOOKUP(Ruimtestaat[[#This Row],[Ruimte code]],Ruimtegroepen[#All],2,FALSE)</f>
        <v>Sanitair</v>
      </c>
      <c r="L324" s="247" t="s">
        <v>677</v>
      </c>
      <c r="M324" s="249" t="s">
        <v>1200</v>
      </c>
      <c r="N324" s="200">
        <v>15</v>
      </c>
      <c r="O324" s="190"/>
      <c r="P324" s="231" t="str">
        <f>VLOOKUP(Ruimtestaat[[#This Row],[Ruimte code]],Ruimtegroepen[#All],4,FALSE)</f>
        <v>S  (Sanitair)</v>
      </c>
      <c r="Q324" s="201"/>
      <c r="R324" s="202">
        <v>42</v>
      </c>
      <c r="S324" s="202" t="s">
        <v>19</v>
      </c>
      <c r="T324" s="202">
        <f>IF(R324&gt;0,IF(RIGHT(Ruimtestaat[[#This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324" s="202">
        <f>IF(T324&gt;0,VLOOKUP($J324,Ruimtegroepen[],3,FALSE)*VLOOKUP($L324,Vloersoorten[],3,FALSE)*VLOOKUP($S324,Frequenties[],3,FALSE)*VLOOKUP($A324,Locaties[],3,FALSE),0)</f>
        <v>0</v>
      </c>
      <c r="V324" s="202">
        <f>Ruimtestaat[[#This Row],[Uitvoeringen werkdagen]]*Ruimtestaat[[#This Row],[Oppervlak (netto)]]</f>
        <v>6300</v>
      </c>
      <c r="W324" s="242">
        <f>IF(U324&gt;0,Ruimtestaat[[#This Row],[Prest. (m2 /jaar) werkdagen]]/Ruimtestaat[[#This Row],[Norm (m2/uur) werkdagen]],0)</f>
        <v>0</v>
      </c>
      <c r="X324" s="243">
        <f>Ruimtestaat[[#This Row],[uren / jaar werkdagen]]*Tariefsopbouw!$D$38</f>
        <v>0</v>
      </c>
      <c r="Y324" s="33"/>
      <c r="Z324" s="33">
        <f>IF(Ruimtestaat[[#This Row],[Frequentie weekend]]&gt;0,VALUE(LEFT(Y324,1))*R324,0)</f>
        <v>0</v>
      </c>
      <c r="AA324" s="33">
        <f>IF($Z324&gt;0,VLOOKUP($J324,Ruimtegroepen[],3,FALSE)*VLOOKUP($L324,Vloersoorten[],3,FALSE)*VLOOKUP($Y324,Frequenties[],3,FALSE)*VLOOKUP(#REF!,Locaties[],3,FALSE),0)</f>
        <v>0</v>
      </c>
      <c r="AB324" s="33"/>
      <c r="AC324" s="33"/>
      <c r="AD324" s="33">
        <f>Ruimtestaat[[#This Row],[uren / jaar weekend]]*Tariefsopbouw!$D$40</f>
        <v>0</v>
      </c>
      <c r="AE324" s="86">
        <f>Ruimtestaat[[#This Row],[Prest. (m2 /jaar) weekend]]+Ruimtestaat[[#This Row],[Prest. (m2 /jaar) werkdagen]]</f>
        <v>6300</v>
      </c>
      <c r="AF324" s="86">
        <f>Ruimtestaat[[#This Row],[uren / jaar weekend]]+Ruimtestaat[[#This Row],[uren / jaar werkdagen]]</f>
        <v>0</v>
      </c>
      <c r="AG324" s="87">
        <f>Ruimtestaat[[#This Row],[kosten / jaar weekend]]+Ruimtestaat[[#This Row],[kosten / jaar werkdagen]]</f>
        <v>0</v>
      </c>
    </row>
    <row r="325" spans="1:33" ht="15" customHeight="1">
      <c r="A325" s="187">
        <v>4</v>
      </c>
      <c r="B325" s="21" t="str">
        <f>VLOOKUP(Ruimtestaat[[#This Row],[Code]],Locaties[#All],2,FALSE)</f>
        <v xml:space="preserve">Lyceumstraat </v>
      </c>
      <c r="C325" s="247" t="str">
        <f>VLOOKUP(Ruimtestaat[[#This Row],[Code]],Locaties[#All],4,FALSE)</f>
        <v>Lyceumstraat 36</v>
      </c>
      <c r="D325" s="247" t="str">
        <f>VLOOKUP(Ruimtestaat[[#This Row],[Code]],Locaties[#All],5,FALSE)</f>
        <v>7572 CR</v>
      </c>
      <c r="E325" s="187" t="str">
        <f>VLOOKUP(Ruimtestaat[[#This Row],[Code]],Locaties[#All],6,FALSE)</f>
        <v>Oldenzaal</v>
      </c>
      <c r="F325" s="248"/>
      <c r="G325" s="246" t="s">
        <v>679</v>
      </c>
      <c r="H325" s="246" t="s">
        <v>989</v>
      </c>
      <c r="I325" s="248" t="s">
        <v>442</v>
      </c>
      <c r="J325" s="187">
        <v>20</v>
      </c>
      <c r="K325" s="187" t="str">
        <f>VLOOKUP(Ruimtestaat[[#This Row],[Ruimte code]],Ruimtegroepen[#All],2,FALSE)</f>
        <v>Niet in onderhoud</v>
      </c>
      <c r="L325" s="247" t="s">
        <v>677</v>
      </c>
      <c r="M325" s="249" t="s">
        <v>1200</v>
      </c>
      <c r="N325" s="200"/>
      <c r="O325" s="190">
        <v>15</v>
      </c>
      <c r="P325" s="231" t="str">
        <f>VLOOKUP(Ruimtestaat[[#This Row],[Ruimte code]],Ruimtegroepen[#All],4,FALSE)</f>
        <v>V  (Verkeersruimte)</v>
      </c>
      <c r="Q325" s="201"/>
      <c r="R325" s="202"/>
      <c r="S325" s="202"/>
      <c r="T325" s="202">
        <f>IF(R325&gt;0,IF(RIGHT(Ruimtestaat[[#This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325" s="202">
        <f>IF(T325&gt;0,VLOOKUP($J325,Ruimtegroepen[],3,FALSE)*VLOOKUP($L325,Vloersoorten[],3,FALSE)*VLOOKUP($S325,Frequenties[],3,FALSE)*VLOOKUP($A325,Locaties[],3,FALSE),0)</f>
        <v>0</v>
      </c>
      <c r="V325" s="202">
        <f>Ruimtestaat[[#This Row],[Uitvoeringen werkdagen]]*Ruimtestaat[[#This Row],[Oppervlak (netto)]]</f>
        <v>0</v>
      </c>
      <c r="W325" s="242">
        <f>IF(U325&gt;0,Ruimtestaat[[#This Row],[Prest. (m2 /jaar) werkdagen]]/Ruimtestaat[[#This Row],[Norm (m2/uur) werkdagen]],0)</f>
        <v>0</v>
      </c>
      <c r="X325" s="243">
        <f>Ruimtestaat[[#This Row],[uren / jaar werkdagen]]*Tariefsopbouw!$D$38</f>
        <v>0</v>
      </c>
      <c r="Y325" s="33"/>
      <c r="Z325" s="33">
        <f>IF(Ruimtestaat[[#This Row],[Frequentie weekend]]&gt;0,VALUE(LEFT(Y325,1))*R325,0)</f>
        <v>0</v>
      </c>
      <c r="AA325" s="33">
        <f>IF($Z325&gt;0,VLOOKUP($J325,Ruimtegroepen[],3,FALSE)*VLOOKUP($L325,Vloersoorten[],3,FALSE)*VLOOKUP($Y325,Frequenties[],3,FALSE)*VLOOKUP(#REF!,Locaties[],3,FALSE),0)</f>
        <v>0</v>
      </c>
      <c r="AB325" s="33"/>
      <c r="AC325" s="33"/>
      <c r="AD325" s="33">
        <f>Ruimtestaat[[#This Row],[uren / jaar weekend]]*Tariefsopbouw!$D$40</f>
        <v>0</v>
      </c>
      <c r="AE325" s="86">
        <f>Ruimtestaat[[#This Row],[Prest. (m2 /jaar) weekend]]+Ruimtestaat[[#This Row],[Prest. (m2 /jaar) werkdagen]]</f>
        <v>0</v>
      </c>
      <c r="AF325" s="86">
        <f>Ruimtestaat[[#This Row],[uren / jaar weekend]]+Ruimtestaat[[#This Row],[uren / jaar werkdagen]]</f>
        <v>0</v>
      </c>
      <c r="AG325" s="87">
        <f>Ruimtestaat[[#This Row],[kosten / jaar weekend]]+Ruimtestaat[[#This Row],[kosten / jaar werkdagen]]</f>
        <v>0</v>
      </c>
    </row>
    <row r="326" spans="1:33" ht="15" customHeight="1">
      <c r="A326" s="187">
        <v>4</v>
      </c>
      <c r="B326" s="21" t="str">
        <f>VLOOKUP(Ruimtestaat[[#This Row],[Code]],Locaties[#All],2,FALSE)</f>
        <v xml:space="preserve">Lyceumstraat </v>
      </c>
      <c r="C326" s="247" t="str">
        <f>VLOOKUP(Ruimtestaat[[#This Row],[Code]],Locaties[#All],4,FALSE)</f>
        <v>Lyceumstraat 36</v>
      </c>
      <c r="D326" s="247" t="str">
        <f>VLOOKUP(Ruimtestaat[[#This Row],[Code]],Locaties[#All],5,FALSE)</f>
        <v>7572 CR</v>
      </c>
      <c r="E326" s="187" t="str">
        <f>VLOOKUP(Ruimtestaat[[#This Row],[Code]],Locaties[#All],6,FALSE)</f>
        <v>Oldenzaal</v>
      </c>
      <c r="F326" s="248"/>
      <c r="G326" s="246" t="s">
        <v>679</v>
      </c>
      <c r="H326" s="246" t="s">
        <v>990</v>
      </c>
      <c r="I326" s="248" t="s">
        <v>591</v>
      </c>
      <c r="J326" s="187">
        <v>5</v>
      </c>
      <c r="K326" s="187" t="str">
        <f>VLOOKUP(Ruimtestaat[[#This Row],[Ruimte code]],Ruimtegroepen[#All],2,FALSE)</f>
        <v>Sanitair</v>
      </c>
      <c r="L326" s="247" t="s">
        <v>677</v>
      </c>
      <c r="M326" s="249" t="s">
        <v>1200</v>
      </c>
      <c r="N326" s="200">
        <v>16</v>
      </c>
      <c r="O326" s="190"/>
      <c r="P326" s="231" t="str">
        <f>VLOOKUP(Ruimtestaat[[#This Row],[Ruimte code]],Ruimtegroepen[#All],4,FALSE)</f>
        <v>S  (Sanitair)</v>
      </c>
      <c r="Q326" s="201"/>
      <c r="R326" s="202">
        <v>42</v>
      </c>
      <c r="S326" s="202" t="s">
        <v>19</v>
      </c>
      <c r="T326" s="202">
        <f>IF(R326&gt;0,IF(RIGHT(Ruimtestaat[[#This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326" s="202">
        <f>IF(T326&gt;0,VLOOKUP($J326,Ruimtegroepen[],3,FALSE)*VLOOKUP($L326,Vloersoorten[],3,FALSE)*VLOOKUP($S326,Frequenties[],3,FALSE)*VLOOKUP($A326,Locaties[],3,FALSE),0)</f>
        <v>0</v>
      </c>
      <c r="V326" s="202">
        <f>Ruimtestaat[[#This Row],[Uitvoeringen werkdagen]]*Ruimtestaat[[#This Row],[Oppervlak (netto)]]</f>
        <v>6720</v>
      </c>
      <c r="W326" s="242">
        <f>IF(U326&gt;0,Ruimtestaat[[#This Row],[Prest. (m2 /jaar) werkdagen]]/Ruimtestaat[[#This Row],[Norm (m2/uur) werkdagen]],0)</f>
        <v>0</v>
      </c>
      <c r="X326" s="243">
        <f>Ruimtestaat[[#This Row],[uren / jaar werkdagen]]*Tariefsopbouw!$D$38</f>
        <v>0</v>
      </c>
      <c r="Y326" s="33"/>
      <c r="Z326" s="33">
        <f>IF(Ruimtestaat[[#This Row],[Frequentie weekend]]&gt;0,VALUE(LEFT(Y326,1))*R326,0)</f>
        <v>0</v>
      </c>
      <c r="AA326" s="33">
        <f>IF($Z326&gt;0,VLOOKUP($J326,Ruimtegroepen[],3,FALSE)*VLOOKUP($L326,Vloersoorten[],3,FALSE)*VLOOKUP($Y326,Frequenties[],3,FALSE)*VLOOKUP(#REF!,Locaties[],3,FALSE),0)</f>
        <v>0</v>
      </c>
      <c r="AB326" s="33"/>
      <c r="AC326" s="33"/>
      <c r="AD326" s="33">
        <f>Ruimtestaat[[#This Row],[uren / jaar weekend]]*Tariefsopbouw!$D$40</f>
        <v>0</v>
      </c>
      <c r="AE326" s="86">
        <f>Ruimtestaat[[#This Row],[Prest. (m2 /jaar) weekend]]+Ruimtestaat[[#This Row],[Prest. (m2 /jaar) werkdagen]]</f>
        <v>6720</v>
      </c>
      <c r="AF326" s="86">
        <f>Ruimtestaat[[#This Row],[uren / jaar weekend]]+Ruimtestaat[[#This Row],[uren / jaar werkdagen]]</f>
        <v>0</v>
      </c>
      <c r="AG326" s="87">
        <f>Ruimtestaat[[#This Row],[kosten / jaar weekend]]+Ruimtestaat[[#This Row],[kosten / jaar werkdagen]]</f>
        <v>0</v>
      </c>
    </row>
    <row r="327" spans="1:33" ht="15" customHeight="1">
      <c r="A327" s="187">
        <v>4</v>
      </c>
      <c r="B327" s="21" t="str">
        <f>VLOOKUP(Ruimtestaat[[#This Row],[Code]],Locaties[#All],2,FALSE)</f>
        <v xml:space="preserve">Lyceumstraat </v>
      </c>
      <c r="C327" s="247" t="str">
        <f>VLOOKUP(Ruimtestaat[[#This Row],[Code]],Locaties[#All],4,FALSE)</f>
        <v>Lyceumstraat 36</v>
      </c>
      <c r="D327" s="247" t="str">
        <f>VLOOKUP(Ruimtestaat[[#This Row],[Code]],Locaties[#All],5,FALSE)</f>
        <v>7572 CR</v>
      </c>
      <c r="E327" s="187" t="str">
        <f>VLOOKUP(Ruimtestaat[[#This Row],[Code]],Locaties[#All],6,FALSE)</f>
        <v>Oldenzaal</v>
      </c>
      <c r="F327" s="248"/>
      <c r="G327" s="246" t="s">
        <v>679</v>
      </c>
      <c r="H327" s="246" t="s">
        <v>991</v>
      </c>
      <c r="I327" s="248" t="s">
        <v>992</v>
      </c>
      <c r="J327" s="187">
        <v>12</v>
      </c>
      <c r="K327" s="187" t="str">
        <f>VLOOKUP(Ruimtestaat[[#This Row],[Ruimte code]],Ruimtegroepen[#All],2,FALSE)</f>
        <v>Kantine/aula</v>
      </c>
      <c r="L327" s="247" t="s">
        <v>677</v>
      </c>
      <c r="M327" s="249" t="s">
        <v>1200</v>
      </c>
      <c r="N327" s="200">
        <v>475</v>
      </c>
      <c r="O327" s="190"/>
      <c r="P327" s="231" t="str">
        <f>VLOOKUP(Ruimtestaat[[#This Row],[Ruimte code]],Ruimtegroepen[#All],4,FALSE)</f>
        <v>V  (Verkeersruimte)</v>
      </c>
      <c r="Q327" s="201"/>
      <c r="R327" s="202">
        <v>42</v>
      </c>
      <c r="S327" s="202" t="s">
        <v>2</v>
      </c>
      <c r="T327" s="202">
        <f>IF(R327&gt;0,IF(RIGHT(Ruimtestaat[[#This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27" s="202">
        <f>IF(T327&gt;0,VLOOKUP($J327,Ruimtegroepen[],3,FALSE)*VLOOKUP($L327,Vloersoorten[],3,FALSE)*VLOOKUP($S327,Frequenties[],3,FALSE)*VLOOKUP($A327,Locaties[],3,FALSE),0)</f>
        <v>0</v>
      </c>
      <c r="V327" s="202">
        <f>Ruimtestaat[[#This Row],[Uitvoeringen werkdagen]]*Ruimtestaat[[#This Row],[Oppervlak (netto)]]</f>
        <v>99750</v>
      </c>
      <c r="W327" s="242">
        <f>IF(U327&gt;0,Ruimtestaat[[#This Row],[Prest. (m2 /jaar) werkdagen]]/Ruimtestaat[[#This Row],[Norm (m2/uur) werkdagen]],0)</f>
        <v>0</v>
      </c>
      <c r="X327" s="243">
        <f>Ruimtestaat[[#This Row],[uren / jaar werkdagen]]*Tariefsopbouw!$D$38</f>
        <v>0</v>
      </c>
      <c r="Y327" s="33"/>
      <c r="Z327" s="33">
        <f>IF(Ruimtestaat[[#This Row],[Frequentie weekend]]&gt;0,VALUE(LEFT(Y327,1))*R327,0)</f>
        <v>0</v>
      </c>
      <c r="AA327" s="33">
        <f>IF($Z327&gt;0,VLOOKUP($J327,Ruimtegroepen[],3,FALSE)*VLOOKUP($L327,Vloersoorten[],3,FALSE)*VLOOKUP($Y327,Frequenties[],3,FALSE)*VLOOKUP(#REF!,Locaties[],3,FALSE),0)</f>
        <v>0</v>
      </c>
      <c r="AB327" s="33"/>
      <c r="AC327" s="33"/>
      <c r="AD327" s="33">
        <f>Ruimtestaat[[#This Row],[uren / jaar weekend]]*Tariefsopbouw!$D$40</f>
        <v>0</v>
      </c>
      <c r="AE327" s="86">
        <f>Ruimtestaat[[#This Row],[Prest. (m2 /jaar) weekend]]+Ruimtestaat[[#This Row],[Prest. (m2 /jaar) werkdagen]]</f>
        <v>99750</v>
      </c>
      <c r="AF327" s="86">
        <f>Ruimtestaat[[#This Row],[uren / jaar weekend]]+Ruimtestaat[[#This Row],[uren / jaar werkdagen]]</f>
        <v>0</v>
      </c>
      <c r="AG327" s="87">
        <f>Ruimtestaat[[#This Row],[kosten / jaar weekend]]+Ruimtestaat[[#This Row],[kosten / jaar werkdagen]]</f>
        <v>0</v>
      </c>
    </row>
    <row r="328" spans="1:33" ht="15" customHeight="1">
      <c r="A328" s="187">
        <v>4</v>
      </c>
      <c r="B328" s="21" t="str">
        <f>VLOOKUP(Ruimtestaat[[#This Row],[Code]],Locaties[#All],2,FALSE)</f>
        <v xml:space="preserve">Lyceumstraat </v>
      </c>
      <c r="C328" s="247" t="str">
        <f>VLOOKUP(Ruimtestaat[[#This Row],[Code]],Locaties[#All],4,FALSE)</f>
        <v>Lyceumstraat 36</v>
      </c>
      <c r="D328" s="247" t="str">
        <f>VLOOKUP(Ruimtestaat[[#This Row],[Code]],Locaties[#All],5,FALSE)</f>
        <v>7572 CR</v>
      </c>
      <c r="E328" s="187" t="str">
        <f>VLOOKUP(Ruimtestaat[[#This Row],[Code]],Locaties[#All],6,FALSE)</f>
        <v>Oldenzaal</v>
      </c>
      <c r="F328" s="248"/>
      <c r="G328" s="246" t="s">
        <v>679</v>
      </c>
      <c r="H328" s="246" t="s">
        <v>993</v>
      </c>
      <c r="I328" s="248" t="s">
        <v>414</v>
      </c>
      <c r="J328" s="247">
        <v>6</v>
      </c>
      <c r="K328" s="247" t="str">
        <f>VLOOKUP(Ruimtestaat[[#This Row],[Ruimte code]],Ruimtegroepen[#All],2,FALSE)</f>
        <v>Gangen/hallen</v>
      </c>
      <c r="L328" s="247" t="s">
        <v>677</v>
      </c>
      <c r="M328" s="249" t="s">
        <v>1200</v>
      </c>
      <c r="N328" s="200">
        <v>92</v>
      </c>
      <c r="O328" s="190"/>
      <c r="P328" s="231" t="str">
        <f>VLOOKUP(Ruimtestaat[[#This Row],[Ruimte code]],Ruimtegroepen[#All],4,FALSE)</f>
        <v>V  (Verkeersruimte)</v>
      </c>
      <c r="Q328" s="201"/>
      <c r="R328" s="202">
        <v>42</v>
      </c>
      <c r="S328" s="202" t="s">
        <v>2</v>
      </c>
      <c r="T328" s="202">
        <f>IF(R328&gt;0,IF(RIGHT(Ruimtestaat[[#This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28" s="202">
        <f>IF(T328&gt;0,VLOOKUP($J328,Ruimtegroepen[],3,FALSE)*VLOOKUP($L328,Vloersoorten[],3,FALSE)*VLOOKUP($S328,Frequenties[],3,FALSE)*VLOOKUP($A328,Locaties[],3,FALSE),0)</f>
        <v>0</v>
      </c>
      <c r="V328" s="202">
        <f>Ruimtestaat[[#This Row],[Uitvoeringen werkdagen]]*Ruimtestaat[[#This Row],[Oppervlak (netto)]]</f>
        <v>19320</v>
      </c>
      <c r="W328" s="242">
        <f>IF(U328&gt;0,Ruimtestaat[[#This Row],[Prest. (m2 /jaar) werkdagen]]/Ruimtestaat[[#This Row],[Norm (m2/uur) werkdagen]],0)</f>
        <v>0</v>
      </c>
      <c r="X328" s="243">
        <f>Ruimtestaat[[#This Row],[uren / jaar werkdagen]]*Tariefsopbouw!$D$38</f>
        <v>0</v>
      </c>
      <c r="Y328" s="33"/>
      <c r="Z328" s="33">
        <f>IF(Ruimtestaat[[#This Row],[Frequentie weekend]]&gt;0,VALUE(LEFT(Y328,1))*R328,0)</f>
        <v>0</v>
      </c>
      <c r="AA328" s="33">
        <f>IF($Z328&gt;0,VLOOKUP($J328,Ruimtegroepen[],3,FALSE)*VLOOKUP($L328,Vloersoorten[],3,FALSE)*VLOOKUP($Y328,Frequenties[],3,FALSE)*VLOOKUP(#REF!,Locaties[],3,FALSE),0)</f>
        <v>0</v>
      </c>
      <c r="AB328" s="33"/>
      <c r="AC328" s="33"/>
      <c r="AD328" s="33">
        <f>Ruimtestaat[[#This Row],[uren / jaar weekend]]*Tariefsopbouw!$D$40</f>
        <v>0</v>
      </c>
      <c r="AE328" s="86">
        <f>Ruimtestaat[[#This Row],[Prest. (m2 /jaar) weekend]]+Ruimtestaat[[#This Row],[Prest. (m2 /jaar) werkdagen]]</f>
        <v>19320</v>
      </c>
      <c r="AF328" s="86">
        <f>Ruimtestaat[[#This Row],[uren / jaar weekend]]+Ruimtestaat[[#This Row],[uren / jaar werkdagen]]</f>
        <v>0</v>
      </c>
      <c r="AG328" s="87">
        <f>Ruimtestaat[[#This Row],[kosten / jaar weekend]]+Ruimtestaat[[#This Row],[kosten / jaar werkdagen]]</f>
        <v>0</v>
      </c>
    </row>
    <row r="329" spans="1:33" ht="15" customHeight="1">
      <c r="A329" s="187">
        <v>4</v>
      </c>
      <c r="B329" s="21" t="str">
        <f>VLOOKUP(Ruimtestaat[[#This Row],[Code]],Locaties[#All],2,FALSE)</f>
        <v xml:space="preserve">Lyceumstraat </v>
      </c>
      <c r="C329" s="247" t="str">
        <f>VLOOKUP(Ruimtestaat[[#This Row],[Code]],Locaties[#All],4,FALSE)</f>
        <v>Lyceumstraat 36</v>
      </c>
      <c r="D329" s="247" t="str">
        <f>VLOOKUP(Ruimtestaat[[#This Row],[Code]],Locaties[#All],5,FALSE)</f>
        <v>7572 CR</v>
      </c>
      <c r="E329" s="187" t="str">
        <f>VLOOKUP(Ruimtestaat[[#This Row],[Code]],Locaties[#All],6,FALSE)</f>
        <v>Oldenzaal</v>
      </c>
      <c r="F329" s="248"/>
      <c r="G329" s="246" t="s">
        <v>679</v>
      </c>
      <c r="H329" s="246" t="s">
        <v>993</v>
      </c>
      <c r="I329" s="248" t="s">
        <v>596</v>
      </c>
      <c r="J329" s="187">
        <v>10</v>
      </c>
      <c r="K329" s="187" t="str">
        <f>VLOOKUP(Ruimtestaat[[#This Row],[Ruimte code]],Ruimtegroepen[#All],2,FALSE)</f>
        <v>Trappenhuizen/lift</v>
      </c>
      <c r="L329" s="202" t="s">
        <v>108</v>
      </c>
      <c r="M329" s="249" t="s">
        <v>1201</v>
      </c>
      <c r="N329" s="200">
        <v>63</v>
      </c>
      <c r="O329" s="190"/>
      <c r="P329" s="231" t="str">
        <f>VLOOKUP(Ruimtestaat[[#This Row],[Ruimte code]],Ruimtegroepen[#All],4,FALSE)</f>
        <v>V  (Verkeersruimte)</v>
      </c>
      <c r="Q329" s="201"/>
      <c r="R329" s="202">
        <v>42</v>
      </c>
      <c r="S329" s="202" t="s">
        <v>2</v>
      </c>
      <c r="T329" s="202">
        <f>IF(R329&gt;0,IF(RIGHT(Ruimtestaat[[#This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29" s="202">
        <f>IF(T329&gt;0,VLOOKUP($J329,Ruimtegroepen[],3,FALSE)*VLOOKUP($L329,Vloersoorten[],3,FALSE)*VLOOKUP($S329,Frequenties[],3,FALSE)*VLOOKUP($A329,Locaties[],3,FALSE),0)</f>
        <v>0</v>
      </c>
      <c r="V329" s="202">
        <f>Ruimtestaat[[#This Row],[Uitvoeringen werkdagen]]*Ruimtestaat[[#This Row],[Oppervlak (netto)]]</f>
        <v>13230</v>
      </c>
      <c r="W329" s="242">
        <f>IF(U329&gt;0,Ruimtestaat[[#This Row],[Prest. (m2 /jaar) werkdagen]]/Ruimtestaat[[#This Row],[Norm (m2/uur) werkdagen]],0)</f>
        <v>0</v>
      </c>
      <c r="X329" s="243">
        <f>Ruimtestaat[[#This Row],[uren / jaar werkdagen]]*Tariefsopbouw!$D$38</f>
        <v>0</v>
      </c>
      <c r="Y329" s="33"/>
      <c r="Z329" s="33">
        <f>IF(Ruimtestaat[[#This Row],[Frequentie weekend]]&gt;0,VALUE(LEFT(Y329,1))*R329,0)</f>
        <v>0</v>
      </c>
      <c r="AA329" s="33">
        <f>IF($Z329&gt;0,VLOOKUP($J329,Ruimtegroepen[],3,FALSE)*VLOOKUP($L329,Vloersoorten[],3,FALSE)*VLOOKUP($Y329,Frequenties[],3,FALSE)*VLOOKUP(#REF!,Locaties[],3,FALSE),0)</f>
        <v>0</v>
      </c>
      <c r="AB329" s="33"/>
      <c r="AC329" s="33"/>
      <c r="AD329" s="33">
        <f>Ruimtestaat[[#This Row],[uren / jaar weekend]]*Tariefsopbouw!$D$40</f>
        <v>0</v>
      </c>
      <c r="AE329" s="86">
        <f>Ruimtestaat[[#This Row],[Prest. (m2 /jaar) weekend]]+Ruimtestaat[[#This Row],[Prest. (m2 /jaar) werkdagen]]</f>
        <v>13230</v>
      </c>
      <c r="AF329" s="86">
        <f>Ruimtestaat[[#This Row],[uren / jaar weekend]]+Ruimtestaat[[#This Row],[uren / jaar werkdagen]]</f>
        <v>0</v>
      </c>
      <c r="AG329" s="87">
        <f>Ruimtestaat[[#This Row],[kosten / jaar weekend]]+Ruimtestaat[[#This Row],[kosten / jaar werkdagen]]</f>
        <v>0</v>
      </c>
    </row>
    <row r="330" spans="1:33" ht="15" customHeight="1">
      <c r="A330" s="187">
        <v>4</v>
      </c>
      <c r="B330" s="21" t="str">
        <f>VLOOKUP(Ruimtestaat[[#This Row],[Code]],Locaties[#All],2,FALSE)</f>
        <v xml:space="preserve">Lyceumstraat </v>
      </c>
      <c r="C330" s="247" t="str">
        <f>VLOOKUP(Ruimtestaat[[#This Row],[Code]],Locaties[#All],4,FALSE)</f>
        <v>Lyceumstraat 36</v>
      </c>
      <c r="D330" s="247" t="str">
        <f>VLOOKUP(Ruimtestaat[[#This Row],[Code]],Locaties[#All],5,FALSE)</f>
        <v>7572 CR</v>
      </c>
      <c r="E330" s="187" t="str">
        <f>VLOOKUP(Ruimtestaat[[#This Row],[Code]],Locaties[#All],6,FALSE)</f>
        <v>Oldenzaal</v>
      </c>
      <c r="F330" s="248"/>
      <c r="G330" s="246">
        <v>1</v>
      </c>
      <c r="H330" s="246" t="s">
        <v>994</v>
      </c>
      <c r="I330" s="248" t="s">
        <v>442</v>
      </c>
      <c r="J330" s="187">
        <v>20</v>
      </c>
      <c r="K330" s="187" t="str">
        <f>VLOOKUP(Ruimtestaat[[#This Row],[Ruimte code]],Ruimtegroepen[#All],2,FALSE)</f>
        <v>Niet in onderhoud</v>
      </c>
      <c r="L330" s="247" t="s">
        <v>677</v>
      </c>
      <c r="M330" s="249" t="s">
        <v>1200</v>
      </c>
      <c r="N330" s="200"/>
      <c r="O330" s="190">
        <v>15</v>
      </c>
      <c r="P330" s="231" t="str">
        <f>VLOOKUP(Ruimtestaat[[#This Row],[Ruimte code]],Ruimtegroepen[#All],4,FALSE)</f>
        <v>V  (Verkeersruimte)</v>
      </c>
      <c r="Q330" s="201"/>
      <c r="R330" s="202"/>
      <c r="S330" s="202"/>
      <c r="T330" s="202">
        <f>IF(R330&gt;0,IF(RIGHT(Ruimtestaat[[#This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330" s="202">
        <f>IF(T330&gt;0,VLOOKUP($J330,Ruimtegroepen[],3,FALSE)*VLOOKUP($L330,Vloersoorten[],3,FALSE)*VLOOKUP($S330,Frequenties[],3,FALSE)*VLOOKUP($A330,Locaties[],3,FALSE),0)</f>
        <v>0</v>
      </c>
      <c r="V330" s="202">
        <f>Ruimtestaat[[#This Row],[Uitvoeringen werkdagen]]*Ruimtestaat[[#This Row],[Oppervlak (netto)]]</f>
        <v>0</v>
      </c>
      <c r="W330" s="242">
        <f>IF(U330&gt;0,Ruimtestaat[[#This Row],[Prest. (m2 /jaar) werkdagen]]/Ruimtestaat[[#This Row],[Norm (m2/uur) werkdagen]],0)</f>
        <v>0</v>
      </c>
      <c r="X330" s="243">
        <f>Ruimtestaat[[#This Row],[uren / jaar werkdagen]]*Tariefsopbouw!$D$38</f>
        <v>0</v>
      </c>
      <c r="Y330" s="33"/>
      <c r="Z330" s="33">
        <f>IF(Ruimtestaat[[#This Row],[Frequentie weekend]]&gt;0,VALUE(LEFT(Y330,1))*R330,0)</f>
        <v>0</v>
      </c>
      <c r="AA330" s="33">
        <f>IF($Z330&gt;0,VLOOKUP($J330,Ruimtegroepen[],3,FALSE)*VLOOKUP($L330,Vloersoorten[],3,FALSE)*VLOOKUP($Y330,Frequenties[],3,FALSE)*VLOOKUP(#REF!,Locaties[],3,FALSE),0)</f>
        <v>0</v>
      </c>
      <c r="AB330" s="33"/>
      <c r="AC330" s="33"/>
      <c r="AD330" s="33">
        <f>Ruimtestaat[[#This Row],[uren / jaar weekend]]*Tariefsopbouw!$D$40</f>
        <v>0</v>
      </c>
      <c r="AE330" s="86">
        <f>Ruimtestaat[[#This Row],[Prest. (m2 /jaar) weekend]]+Ruimtestaat[[#This Row],[Prest. (m2 /jaar) werkdagen]]</f>
        <v>0</v>
      </c>
      <c r="AF330" s="86">
        <f>Ruimtestaat[[#This Row],[uren / jaar weekend]]+Ruimtestaat[[#This Row],[uren / jaar werkdagen]]</f>
        <v>0</v>
      </c>
      <c r="AG330" s="87">
        <f>Ruimtestaat[[#This Row],[kosten / jaar weekend]]+Ruimtestaat[[#This Row],[kosten / jaar werkdagen]]</f>
        <v>0</v>
      </c>
    </row>
    <row r="331" spans="1:33" ht="15" customHeight="1">
      <c r="A331" s="187">
        <v>4</v>
      </c>
      <c r="B331" s="21" t="str">
        <f>VLOOKUP(Ruimtestaat[[#This Row],[Code]],Locaties[#All],2,FALSE)</f>
        <v xml:space="preserve">Lyceumstraat </v>
      </c>
      <c r="C331" s="247" t="str">
        <f>VLOOKUP(Ruimtestaat[[#This Row],[Code]],Locaties[#All],4,FALSE)</f>
        <v>Lyceumstraat 36</v>
      </c>
      <c r="D331" s="247" t="str">
        <f>VLOOKUP(Ruimtestaat[[#This Row],[Code]],Locaties[#All],5,FALSE)</f>
        <v>7572 CR</v>
      </c>
      <c r="E331" s="187" t="str">
        <f>VLOOKUP(Ruimtestaat[[#This Row],[Code]],Locaties[#All],6,FALSE)</f>
        <v>Oldenzaal</v>
      </c>
      <c r="F331" s="248"/>
      <c r="G331" s="246">
        <v>1</v>
      </c>
      <c r="H331" s="246" t="s">
        <v>995</v>
      </c>
      <c r="I331" s="248" t="s">
        <v>996</v>
      </c>
      <c r="J331" s="247">
        <v>14</v>
      </c>
      <c r="K331" s="247" t="str">
        <f>VLOOKUP(Ruimtestaat[[#This Row],[Ruimte code]],Ruimtegroepen[#All],2,FALSE)</f>
        <v>Praktijklokalen/kabinet</v>
      </c>
      <c r="L331" s="247" t="s">
        <v>677</v>
      </c>
      <c r="M331" s="249" t="s">
        <v>1200</v>
      </c>
      <c r="N331" s="200">
        <v>95</v>
      </c>
      <c r="O331" s="190"/>
      <c r="P331" s="231" t="str">
        <f>VLOOKUP(Ruimtestaat[[#This Row],[Ruimte code]],Ruimtegroepen[#All],4,FALSE)</f>
        <v>L  (Lesruimte)</v>
      </c>
      <c r="Q331" s="201"/>
      <c r="R331" s="202">
        <v>42</v>
      </c>
      <c r="S331" s="202" t="s">
        <v>2</v>
      </c>
      <c r="T331" s="202">
        <f>IF(R331&gt;0,IF(RIGHT(Ruimtestaat[[#This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31" s="202">
        <f>IF(T331&gt;0,VLOOKUP($J331,Ruimtegroepen[],3,FALSE)*VLOOKUP($L331,Vloersoorten[],3,FALSE)*VLOOKUP($S331,Frequenties[],3,FALSE)*VLOOKUP($A331,Locaties[],3,FALSE),0)</f>
        <v>0</v>
      </c>
      <c r="V331" s="202">
        <f>Ruimtestaat[[#This Row],[Uitvoeringen werkdagen]]*Ruimtestaat[[#This Row],[Oppervlak (netto)]]</f>
        <v>19950</v>
      </c>
      <c r="W331" s="242">
        <f>IF(U331&gt;0,Ruimtestaat[[#This Row],[Prest. (m2 /jaar) werkdagen]]/Ruimtestaat[[#This Row],[Norm (m2/uur) werkdagen]],0)</f>
        <v>0</v>
      </c>
      <c r="X331" s="243">
        <f>Ruimtestaat[[#This Row],[uren / jaar werkdagen]]*Tariefsopbouw!$D$38</f>
        <v>0</v>
      </c>
      <c r="Y331" s="33"/>
      <c r="Z331" s="33">
        <f>IF(Ruimtestaat[[#This Row],[Frequentie weekend]]&gt;0,VALUE(LEFT(Y331,1))*R331,0)</f>
        <v>0</v>
      </c>
      <c r="AA331" s="33">
        <f>IF($Z331&gt;0,VLOOKUP($J331,Ruimtegroepen[],3,FALSE)*VLOOKUP($L331,Vloersoorten[],3,FALSE)*VLOOKUP($Y331,Frequenties[],3,FALSE)*VLOOKUP(#REF!,Locaties[],3,FALSE),0)</f>
        <v>0</v>
      </c>
      <c r="AB331" s="33"/>
      <c r="AC331" s="33"/>
      <c r="AD331" s="33">
        <f>Ruimtestaat[[#This Row],[uren / jaar weekend]]*Tariefsopbouw!$D$40</f>
        <v>0</v>
      </c>
      <c r="AE331" s="86">
        <f>Ruimtestaat[[#This Row],[Prest. (m2 /jaar) weekend]]+Ruimtestaat[[#This Row],[Prest. (m2 /jaar) werkdagen]]</f>
        <v>19950</v>
      </c>
      <c r="AF331" s="86">
        <f>Ruimtestaat[[#This Row],[uren / jaar weekend]]+Ruimtestaat[[#This Row],[uren / jaar werkdagen]]</f>
        <v>0</v>
      </c>
      <c r="AG331" s="87">
        <f>Ruimtestaat[[#This Row],[kosten / jaar weekend]]+Ruimtestaat[[#This Row],[kosten / jaar werkdagen]]</f>
        <v>0</v>
      </c>
    </row>
    <row r="332" spans="1:33" ht="15" customHeight="1">
      <c r="A332" s="187">
        <v>4</v>
      </c>
      <c r="B332" s="21" t="str">
        <f>VLOOKUP(Ruimtestaat[[#This Row],[Code]],Locaties[#All],2,FALSE)</f>
        <v xml:space="preserve">Lyceumstraat </v>
      </c>
      <c r="C332" s="247" t="str">
        <f>VLOOKUP(Ruimtestaat[[#This Row],[Code]],Locaties[#All],4,FALSE)</f>
        <v>Lyceumstraat 36</v>
      </c>
      <c r="D332" s="247" t="str">
        <f>VLOOKUP(Ruimtestaat[[#This Row],[Code]],Locaties[#All],5,FALSE)</f>
        <v>7572 CR</v>
      </c>
      <c r="E332" s="187" t="str">
        <f>VLOOKUP(Ruimtestaat[[#This Row],[Code]],Locaties[#All],6,FALSE)</f>
        <v>Oldenzaal</v>
      </c>
      <c r="F332" s="248"/>
      <c r="G332" s="246">
        <v>1</v>
      </c>
      <c r="H332" s="246" t="s">
        <v>997</v>
      </c>
      <c r="I332" s="248" t="s">
        <v>996</v>
      </c>
      <c r="J332" s="187">
        <v>14</v>
      </c>
      <c r="K332" s="187" t="str">
        <f>VLOOKUP(Ruimtestaat[[#This Row],[Ruimte code]],Ruimtegroepen[#All],2,FALSE)</f>
        <v>Praktijklokalen/kabinet</v>
      </c>
      <c r="L332" s="247" t="s">
        <v>677</v>
      </c>
      <c r="M332" s="249" t="s">
        <v>1200</v>
      </c>
      <c r="N332" s="200">
        <v>110</v>
      </c>
      <c r="O332" s="190"/>
      <c r="P332" s="231" t="str">
        <f>VLOOKUP(Ruimtestaat[[#This Row],[Ruimte code]],Ruimtegroepen[#All],4,FALSE)</f>
        <v>L  (Lesruimte)</v>
      </c>
      <c r="Q332" s="201"/>
      <c r="R332" s="202">
        <v>42</v>
      </c>
      <c r="S332" s="202" t="s">
        <v>2</v>
      </c>
      <c r="T332" s="202">
        <f>IF(R332&gt;0,IF(RIGHT(Ruimtestaat[[#This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32" s="202">
        <f>IF(T332&gt;0,VLOOKUP($J332,Ruimtegroepen[],3,FALSE)*VLOOKUP($L332,Vloersoorten[],3,FALSE)*VLOOKUP($S332,Frequenties[],3,FALSE)*VLOOKUP($A332,Locaties[],3,FALSE),0)</f>
        <v>0</v>
      </c>
      <c r="V332" s="202">
        <f>Ruimtestaat[[#This Row],[Uitvoeringen werkdagen]]*Ruimtestaat[[#This Row],[Oppervlak (netto)]]</f>
        <v>23100</v>
      </c>
      <c r="W332" s="242">
        <f>IF(U332&gt;0,Ruimtestaat[[#This Row],[Prest. (m2 /jaar) werkdagen]]/Ruimtestaat[[#This Row],[Norm (m2/uur) werkdagen]],0)</f>
        <v>0</v>
      </c>
      <c r="X332" s="243">
        <f>Ruimtestaat[[#This Row],[uren / jaar werkdagen]]*Tariefsopbouw!$D$38</f>
        <v>0</v>
      </c>
      <c r="Y332" s="33"/>
      <c r="Z332" s="33">
        <f>IF(Ruimtestaat[[#This Row],[Frequentie weekend]]&gt;0,VALUE(LEFT(Y332,1))*R332,0)</f>
        <v>0</v>
      </c>
      <c r="AA332" s="33">
        <f>IF($Z332&gt;0,VLOOKUP($J332,Ruimtegroepen[],3,FALSE)*VLOOKUP($L332,Vloersoorten[],3,FALSE)*VLOOKUP($Y332,Frequenties[],3,FALSE)*VLOOKUP(#REF!,Locaties[],3,FALSE),0)</f>
        <v>0</v>
      </c>
      <c r="AB332" s="33"/>
      <c r="AC332" s="33"/>
      <c r="AD332" s="33">
        <f>Ruimtestaat[[#This Row],[uren / jaar weekend]]*Tariefsopbouw!$D$40</f>
        <v>0</v>
      </c>
      <c r="AE332" s="86">
        <f>Ruimtestaat[[#This Row],[Prest. (m2 /jaar) weekend]]+Ruimtestaat[[#This Row],[Prest. (m2 /jaar) werkdagen]]</f>
        <v>23100</v>
      </c>
      <c r="AF332" s="86">
        <f>Ruimtestaat[[#This Row],[uren / jaar weekend]]+Ruimtestaat[[#This Row],[uren / jaar werkdagen]]</f>
        <v>0</v>
      </c>
      <c r="AG332" s="87">
        <f>Ruimtestaat[[#This Row],[kosten / jaar weekend]]+Ruimtestaat[[#This Row],[kosten / jaar werkdagen]]</f>
        <v>0</v>
      </c>
    </row>
    <row r="333" spans="1:33" ht="15" customHeight="1">
      <c r="A333" s="187">
        <v>4</v>
      </c>
      <c r="B333" s="21" t="str">
        <f>VLOOKUP(Ruimtestaat[[#This Row],[Code]],Locaties[#All],2,FALSE)</f>
        <v xml:space="preserve">Lyceumstraat </v>
      </c>
      <c r="C333" s="247" t="str">
        <f>VLOOKUP(Ruimtestaat[[#This Row],[Code]],Locaties[#All],4,FALSE)</f>
        <v>Lyceumstraat 36</v>
      </c>
      <c r="D333" s="247" t="str">
        <f>VLOOKUP(Ruimtestaat[[#This Row],[Code]],Locaties[#All],5,FALSE)</f>
        <v>7572 CR</v>
      </c>
      <c r="E333" s="187" t="str">
        <f>VLOOKUP(Ruimtestaat[[#This Row],[Code]],Locaties[#All],6,FALSE)</f>
        <v>Oldenzaal</v>
      </c>
      <c r="F333" s="248"/>
      <c r="G333" s="246">
        <v>1</v>
      </c>
      <c r="H333" s="246" t="s">
        <v>998</v>
      </c>
      <c r="I333" s="248" t="s">
        <v>414</v>
      </c>
      <c r="J333" s="247">
        <v>6</v>
      </c>
      <c r="K333" s="247" t="str">
        <f>VLOOKUP(Ruimtestaat[[#This Row],[Ruimte code]],Ruimtegroepen[#All],2,FALSE)</f>
        <v>Gangen/hallen</v>
      </c>
      <c r="L333" s="247" t="s">
        <v>677</v>
      </c>
      <c r="M333" s="249" t="s">
        <v>1200</v>
      </c>
      <c r="N333" s="200">
        <v>100</v>
      </c>
      <c r="O333" s="190"/>
      <c r="P333" s="231" t="str">
        <f>VLOOKUP(Ruimtestaat[[#This Row],[Ruimte code]],Ruimtegroepen[#All],4,FALSE)</f>
        <v>V  (Verkeersruimte)</v>
      </c>
      <c r="Q333" s="201"/>
      <c r="R333" s="202">
        <v>42</v>
      </c>
      <c r="S333" s="202" t="s">
        <v>2</v>
      </c>
      <c r="T333" s="202">
        <f>IF(R333&gt;0,IF(RIGHT(Ruimtestaat[[#This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33" s="202">
        <f>IF(T333&gt;0,VLOOKUP($J333,Ruimtegroepen[],3,FALSE)*VLOOKUP($L333,Vloersoorten[],3,FALSE)*VLOOKUP($S333,Frequenties[],3,FALSE)*VLOOKUP($A333,Locaties[],3,FALSE),0)</f>
        <v>0</v>
      </c>
      <c r="V333" s="202">
        <f>Ruimtestaat[[#This Row],[Uitvoeringen werkdagen]]*Ruimtestaat[[#This Row],[Oppervlak (netto)]]</f>
        <v>21000</v>
      </c>
      <c r="W333" s="242">
        <f>IF(U333&gt;0,Ruimtestaat[[#This Row],[Prest. (m2 /jaar) werkdagen]]/Ruimtestaat[[#This Row],[Norm (m2/uur) werkdagen]],0)</f>
        <v>0</v>
      </c>
      <c r="X333" s="243">
        <f>Ruimtestaat[[#This Row],[uren / jaar werkdagen]]*Tariefsopbouw!$D$38</f>
        <v>0</v>
      </c>
      <c r="Y333" s="33"/>
      <c r="Z333" s="33">
        <f>IF(Ruimtestaat[[#This Row],[Frequentie weekend]]&gt;0,VALUE(LEFT(Y333,1))*R333,0)</f>
        <v>0</v>
      </c>
      <c r="AA333" s="33">
        <f>IF($Z333&gt;0,VLOOKUP($J333,Ruimtegroepen[],3,FALSE)*VLOOKUP($L333,Vloersoorten[],3,FALSE)*VLOOKUP($Y333,Frequenties[],3,FALSE)*VLOOKUP(#REF!,Locaties[],3,FALSE),0)</f>
        <v>0</v>
      </c>
      <c r="AB333" s="33"/>
      <c r="AC333" s="33"/>
      <c r="AD333" s="33">
        <f>Ruimtestaat[[#This Row],[uren / jaar weekend]]*Tariefsopbouw!$D$40</f>
        <v>0</v>
      </c>
      <c r="AE333" s="86">
        <f>Ruimtestaat[[#This Row],[Prest. (m2 /jaar) weekend]]+Ruimtestaat[[#This Row],[Prest. (m2 /jaar) werkdagen]]</f>
        <v>21000</v>
      </c>
      <c r="AF333" s="86">
        <f>Ruimtestaat[[#This Row],[uren / jaar weekend]]+Ruimtestaat[[#This Row],[uren / jaar werkdagen]]</f>
        <v>0</v>
      </c>
      <c r="AG333" s="87">
        <f>Ruimtestaat[[#This Row],[kosten / jaar weekend]]+Ruimtestaat[[#This Row],[kosten / jaar werkdagen]]</f>
        <v>0</v>
      </c>
    </row>
    <row r="334" spans="1:33" ht="15" customHeight="1">
      <c r="A334" s="187">
        <v>4</v>
      </c>
      <c r="B334" s="21" t="str">
        <f>VLOOKUP(Ruimtestaat[[#This Row],[Code]],Locaties[#All],2,FALSE)</f>
        <v xml:space="preserve">Lyceumstraat </v>
      </c>
      <c r="C334" s="247" t="str">
        <f>VLOOKUP(Ruimtestaat[[#This Row],[Code]],Locaties[#All],4,FALSE)</f>
        <v>Lyceumstraat 36</v>
      </c>
      <c r="D334" s="247" t="str">
        <f>VLOOKUP(Ruimtestaat[[#This Row],[Code]],Locaties[#All],5,FALSE)</f>
        <v>7572 CR</v>
      </c>
      <c r="E334" s="187" t="str">
        <f>VLOOKUP(Ruimtestaat[[#This Row],[Code]],Locaties[#All],6,FALSE)</f>
        <v>Oldenzaal</v>
      </c>
      <c r="F334" s="248"/>
      <c r="G334" s="246">
        <v>2</v>
      </c>
      <c r="H334" s="246" t="s">
        <v>999</v>
      </c>
      <c r="I334" s="248" t="s">
        <v>442</v>
      </c>
      <c r="J334" s="247">
        <v>20</v>
      </c>
      <c r="K334" s="247" t="str">
        <f>VLOOKUP(Ruimtestaat[[#This Row],[Ruimte code]],Ruimtegroepen[#All],2,FALSE)</f>
        <v>Niet in onderhoud</v>
      </c>
      <c r="L334" s="247" t="s">
        <v>677</v>
      </c>
      <c r="M334" s="249" t="s">
        <v>1200</v>
      </c>
      <c r="N334" s="200"/>
      <c r="O334" s="190">
        <v>16</v>
      </c>
      <c r="P334" s="231" t="str">
        <f>VLOOKUP(Ruimtestaat[[#This Row],[Ruimte code]],Ruimtegroepen[#All],4,FALSE)</f>
        <v>V  (Verkeersruimte)</v>
      </c>
      <c r="Q334" s="201"/>
      <c r="R334" s="202"/>
      <c r="S334" s="202"/>
      <c r="T334" s="202">
        <f>IF(R334&gt;0,IF(RIGHT(Ruimtestaat[[#This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334" s="202">
        <f>IF(T334&gt;0,VLOOKUP($J334,Ruimtegroepen[],3,FALSE)*VLOOKUP($L334,Vloersoorten[],3,FALSE)*VLOOKUP($S334,Frequenties[],3,FALSE)*VLOOKUP($A334,Locaties[],3,FALSE),0)</f>
        <v>0</v>
      </c>
      <c r="V334" s="202">
        <f>Ruimtestaat[[#This Row],[Uitvoeringen werkdagen]]*Ruimtestaat[[#This Row],[Oppervlak (netto)]]</f>
        <v>0</v>
      </c>
      <c r="W334" s="242">
        <f>IF(U334&gt;0,Ruimtestaat[[#This Row],[Prest. (m2 /jaar) werkdagen]]/Ruimtestaat[[#This Row],[Norm (m2/uur) werkdagen]],0)</f>
        <v>0</v>
      </c>
      <c r="X334" s="243">
        <f>Ruimtestaat[[#This Row],[uren / jaar werkdagen]]*Tariefsopbouw!$D$38</f>
        <v>0</v>
      </c>
      <c r="Y334" s="33"/>
      <c r="Z334" s="33">
        <f>IF(Ruimtestaat[[#This Row],[Frequentie weekend]]&gt;0,VALUE(LEFT(Y334,1))*R334,0)</f>
        <v>0</v>
      </c>
      <c r="AA334" s="33">
        <f>IF($Z334&gt;0,VLOOKUP($J334,Ruimtegroepen[],3,FALSE)*VLOOKUP($L334,Vloersoorten[],3,FALSE)*VLOOKUP($Y334,Frequenties[],3,FALSE)*VLOOKUP(#REF!,Locaties[],3,FALSE),0)</f>
        <v>0</v>
      </c>
      <c r="AB334" s="33"/>
      <c r="AC334" s="33"/>
      <c r="AD334" s="33">
        <f>Ruimtestaat[[#This Row],[uren / jaar weekend]]*Tariefsopbouw!$D$40</f>
        <v>0</v>
      </c>
      <c r="AE334" s="86">
        <f>Ruimtestaat[[#This Row],[Prest. (m2 /jaar) weekend]]+Ruimtestaat[[#This Row],[Prest. (m2 /jaar) werkdagen]]</f>
        <v>0</v>
      </c>
      <c r="AF334" s="86">
        <f>Ruimtestaat[[#This Row],[uren / jaar weekend]]+Ruimtestaat[[#This Row],[uren / jaar werkdagen]]</f>
        <v>0</v>
      </c>
      <c r="AG334" s="87">
        <f>Ruimtestaat[[#This Row],[kosten / jaar weekend]]+Ruimtestaat[[#This Row],[kosten / jaar werkdagen]]</f>
        <v>0</v>
      </c>
    </row>
    <row r="335" spans="1:33" ht="15" customHeight="1">
      <c r="A335" s="187">
        <v>4</v>
      </c>
      <c r="B335" s="21" t="str">
        <f>VLOOKUP(Ruimtestaat[[#This Row],[Code]],Locaties[#All],2,FALSE)</f>
        <v xml:space="preserve">Lyceumstraat </v>
      </c>
      <c r="C335" s="247" t="str">
        <f>VLOOKUP(Ruimtestaat[[#This Row],[Code]],Locaties[#All],4,FALSE)</f>
        <v>Lyceumstraat 36</v>
      </c>
      <c r="D335" s="247" t="str">
        <f>VLOOKUP(Ruimtestaat[[#This Row],[Code]],Locaties[#All],5,FALSE)</f>
        <v>7572 CR</v>
      </c>
      <c r="E335" s="187" t="str">
        <f>VLOOKUP(Ruimtestaat[[#This Row],[Code]],Locaties[#All],6,FALSE)</f>
        <v>Oldenzaal</v>
      </c>
      <c r="F335" s="248"/>
      <c r="G335" s="246">
        <v>2</v>
      </c>
      <c r="H335" s="246" t="s">
        <v>1000</v>
      </c>
      <c r="I335" s="248" t="s">
        <v>465</v>
      </c>
      <c r="J335" s="187">
        <v>16</v>
      </c>
      <c r="K335" s="187" t="str">
        <f>VLOOKUP(Ruimtestaat[[#This Row],[Ruimte code]],Ruimtegroepen[#All],2,FALSE)</f>
        <v>Leslokalen/computerlokaal</v>
      </c>
      <c r="L335" s="247" t="s">
        <v>677</v>
      </c>
      <c r="M335" s="249" t="s">
        <v>1200</v>
      </c>
      <c r="N335" s="200">
        <v>54</v>
      </c>
      <c r="O335" s="190"/>
      <c r="P335" s="231" t="str">
        <f>VLOOKUP(Ruimtestaat[[#This Row],[Ruimte code]],Ruimtegroepen[#All],4,FALSE)</f>
        <v>L  (Lesruimte)</v>
      </c>
      <c r="Q335" s="201"/>
      <c r="R335" s="202">
        <v>42</v>
      </c>
      <c r="S335" s="202" t="s">
        <v>2</v>
      </c>
      <c r="T335" s="202">
        <f>IF(R335&gt;0,IF(RIGHT(Ruimtestaat[[#This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35" s="202">
        <f>IF(T335&gt;0,VLOOKUP($J335,Ruimtegroepen[],3,FALSE)*VLOOKUP($L335,Vloersoorten[],3,FALSE)*VLOOKUP($S335,Frequenties[],3,FALSE)*VLOOKUP($A335,Locaties[],3,FALSE),0)</f>
        <v>0</v>
      </c>
      <c r="V335" s="202">
        <f>Ruimtestaat[[#This Row],[Uitvoeringen werkdagen]]*Ruimtestaat[[#This Row],[Oppervlak (netto)]]</f>
        <v>11340</v>
      </c>
      <c r="W335" s="242">
        <f>IF(U335&gt;0,Ruimtestaat[[#This Row],[Prest. (m2 /jaar) werkdagen]]/Ruimtestaat[[#This Row],[Norm (m2/uur) werkdagen]],0)</f>
        <v>0</v>
      </c>
      <c r="X335" s="243">
        <f>Ruimtestaat[[#This Row],[uren / jaar werkdagen]]*Tariefsopbouw!$D$38</f>
        <v>0</v>
      </c>
      <c r="Y335" s="33"/>
      <c r="Z335" s="33">
        <f>IF(Ruimtestaat[[#This Row],[Frequentie weekend]]&gt;0,VALUE(LEFT(Y335,1))*R335,0)</f>
        <v>0</v>
      </c>
      <c r="AA335" s="33">
        <f>IF($Z335&gt;0,VLOOKUP($J335,Ruimtegroepen[],3,FALSE)*VLOOKUP($L335,Vloersoorten[],3,FALSE)*VLOOKUP($Y335,Frequenties[],3,FALSE)*VLOOKUP(#REF!,Locaties[],3,FALSE),0)</f>
        <v>0</v>
      </c>
      <c r="AB335" s="33"/>
      <c r="AC335" s="33"/>
      <c r="AD335" s="33">
        <f>Ruimtestaat[[#This Row],[uren / jaar weekend]]*Tariefsopbouw!$D$40</f>
        <v>0</v>
      </c>
      <c r="AE335" s="86">
        <f>Ruimtestaat[[#This Row],[Prest. (m2 /jaar) weekend]]+Ruimtestaat[[#This Row],[Prest. (m2 /jaar) werkdagen]]</f>
        <v>11340</v>
      </c>
      <c r="AF335" s="86">
        <f>Ruimtestaat[[#This Row],[uren / jaar weekend]]+Ruimtestaat[[#This Row],[uren / jaar werkdagen]]</f>
        <v>0</v>
      </c>
      <c r="AG335" s="87">
        <f>Ruimtestaat[[#This Row],[kosten / jaar weekend]]+Ruimtestaat[[#This Row],[kosten / jaar werkdagen]]</f>
        <v>0</v>
      </c>
    </row>
    <row r="336" spans="1:33" ht="15" customHeight="1">
      <c r="A336" s="187">
        <v>4</v>
      </c>
      <c r="B336" s="21" t="str">
        <f>VLOOKUP(Ruimtestaat[[#This Row],[Code]],Locaties[#All],2,FALSE)</f>
        <v xml:space="preserve">Lyceumstraat </v>
      </c>
      <c r="C336" s="247" t="str">
        <f>VLOOKUP(Ruimtestaat[[#This Row],[Code]],Locaties[#All],4,FALSE)</f>
        <v>Lyceumstraat 36</v>
      </c>
      <c r="D336" s="247" t="str">
        <f>VLOOKUP(Ruimtestaat[[#This Row],[Code]],Locaties[#All],5,FALSE)</f>
        <v>7572 CR</v>
      </c>
      <c r="E336" s="187" t="str">
        <f>VLOOKUP(Ruimtestaat[[#This Row],[Code]],Locaties[#All],6,FALSE)</f>
        <v>Oldenzaal</v>
      </c>
      <c r="F336" s="248"/>
      <c r="G336" s="246">
        <v>2</v>
      </c>
      <c r="H336" s="246" t="s">
        <v>1001</v>
      </c>
      <c r="I336" s="248" t="s">
        <v>465</v>
      </c>
      <c r="J336" s="187">
        <v>16</v>
      </c>
      <c r="K336" s="187" t="str">
        <f>VLOOKUP(Ruimtestaat[[#This Row],[Ruimte code]],Ruimtegroepen[#All],2,FALSE)</f>
        <v>Leslokalen/computerlokaal</v>
      </c>
      <c r="L336" s="247" t="s">
        <v>677</v>
      </c>
      <c r="M336" s="249" t="s">
        <v>1200</v>
      </c>
      <c r="N336" s="200">
        <v>54</v>
      </c>
      <c r="O336" s="190"/>
      <c r="P336" s="231" t="str">
        <f>VLOOKUP(Ruimtestaat[[#This Row],[Ruimte code]],Ruimtegroepen[#All],4,FALSE)</f>
        <v>L  (Lesruimte)</v>
      </c>
      <c r="Q336" s="201"/>
      <c r="R336" s="202">
        <v>42</v>
      </c>
      <c r="S336" s="202" t="s">
        <v>2</v>
      </c>
      <c r="T336" s="202">
        <f>IF(R336&gt;0,IF(RIGHT(Ruimtestaat[[#This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36" s="202">
        <f>IF(T336&gt;0,VLOOKUP($J336,Ruimtegroepen[],3,FALSE)*VLOOKUP($L336,Vloersoorten[],3,FALSE)*VLOOKUP($S336,Frequenties[],3,FALSE)*VLOOKUP($A336,Locaties[],3,FALSE),0)</f>
        <v>0</v>
      </c>
      <c r="V336" s="202">
        <f>Ruimtestaat[[#This Row],[Uitvoeringen werkdagen]]*Ruimtestaat[[#This Row],[Oppervlak (netto)]]</f>
        <v>11340</v>
      </c>
      <c r="W336" s="242">
        <f>IF(U336&gt;0,Ruimtestaat[[#This Row],[Prest. (m2 /jaar) werkdagen]]/Ruimtestaat[[#This Row],[Norm (m2/uur) werkdagen]],0)</f>
        <v>0</v>
      </c>
      <c r="X336" s="243">
        <f>Ruimtestaat[[#This Row],[uren / jaar werkdagen]]*Tariefsopbouw!$D$38</f>
        <v>0</v>
      </c>
      <c r="Y336" s="33"/>
      <c r="Z336" s="33">
        <f>IF(Ruimtestaat[[#This Row],[Frequentie weekend]]&gt;0,VALUE(LEFT(Y336,1))*R336,0)</f>
        <v>0</v>
      </c>
      <c r="AA336" s="33">
        <f>IF($Z336&gt;0,VLOOKUP($J336,Ruimtegroepen[],3,FALSE)*VLOOKUP($L336,Vloersoorten[],3,FALSE)*VLOOKUP($Y336,Frequenties[],3,FALSE)*VLOOKUP(#REF!,Locaties[],3,FALSE),0)</f>
        <v>0</v>
      </c>
      <c r="AB336" s="33"/>
      <c r="AC336" s="33"/>
      <c r="AD336" s="33">
        <f>Ruimtestaat[[#This Row],[uren / jaar weekend]]*Tariefsopbouw!$D$40</f>
        <v>0</v>
      </c>
      <c r="AE336" s="86">
        <f>Ruimtestaat[[#This Row],[Prest. (m2 /jaar) weekend]]+Ruimtestaat[[#This Row],[Prest. (m2 /jaar) werkdagen]]</f>
        <v>11340</v>
      </c>
      <c r="AF336" s="86">
        <f>Ruimtestaat[[#This Row],[uren / jaar weekend]]+Ruimtestaat[[#This Row],[uren / jaar werkdagen]]</f>
        <v>0</v>
      </c>
      <c r="AG336" s="87">
        <f>Ruimtestaat[[#This Row],[kosten / jaar weekend]]+Ruimtestaat[[#This Row],[kosten / jaar werkdagen]]</f>
        <v>0</v>
      </c>
    </row>
    <row r="337" spans="1:33" ht="15" customHeight="1">
      <c r="A337" s="187">
        <v>4</v>
      </c>
      <c r="B337" s="21" t="str">
        <f>VLOOKUP(Ruimtestaat[[#This Row],[Code]],Locaties[#All],2,FALSE)</f>
        <v xml:space="preserve">Lyceumstraat </v>
      </c>
      <c r="C337" s="247" t="str">
        <f>VLOOKUP(Ruimtestaat[[#This Row],[Code]],Locaties[#All],4,FALSE)</f>
        <v>Lyceumstraat 36</v>
      </c>
      <c r="D337" s="247" t="str">
        <f>VLOOKUP(Ruimtestaat[[#This Row],[Code]],Locaties[#All],5,FALSE)</f>
        <v>7572 CR</v>
      </c>
      <c r="E337" s="187" t="str">
        <f>VLOOKUP(Ruimtestaat[[#This Row],[Code]],Locaties[#All],6,FALSE)</f>
        <v>Oldenzaal</v>
      </c>
      <c r="F337" s="248"/>
      <c r="G337" s="246">
        <v>2</v>
      </c>
      <c r="H337" s="246" t="s">
        <v>1002</v>
      </c>
      <c r="I337" s="248" t="s">
        <v>756</v>
      </c>
      <c r="J337" s="187">
        <v>16</v>
      </c>
      <c r="K337" s="187" t="str">
        <f>VLOOKUP(Ruimtestaat[[#This Row],[Ruimte code]],Ruimtegroepen[#All],2,FALSE)</f>
        <v>Leslokalen/computerlokaal</v>
      </c>
      <c r="L337" s="247" t="s">
        <v>677</v>
      </c>
      <c r="M337" s="249" t="s">
        <v>1200</v>
      </c>
      <c r="N337" s="200">
        <v>36</v>
      </c>
      <c r="O337" s="190"/>
      <c r="P337" s="231" t="str">
        <f>VLOOKUP(Ruimtestaat[[#This Row],[Ruimte code]],Ruimtegroepen[#All],4,FALSE)</f>
        <v>L  (Lesruimte)</v>
      </c>
      <c r="Q337" s="201"/>
      <c r="R337" s="202">
        <v>42</v>
      </c>
      <c r="S337" s="202" t="s">
        <v>2</v>
      </c>
      <c r="T337" s="202">
        <f>IF(R337&gt;0,IF(RIGHT(Ruimtestaat[[#This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37" s="202">
        <f>IF(T337&gt;0,VLOOKUP($J337,Ruimtegroepen[],3,FALSE)*VLOOKUP($L337,Vloersoorten[],3,FALSE)*VLOOKUP($S337,Frequenties[],3,FALSE)*VLOOKUP($A337,Locaties[],3,FALSE),0)</f>
        <v>0</v>
      </c>
      <c r="V337" s="202">
        <f>Ruimtestaat[[#This Row],[Uitvoeringen werkdagen]]*Ruimtestaat[[#This Row],[Oppervlak (netto)]]</f>
        <v>7560</v>
      </c>
      <c r="W337" s="242">
        <f>IF(U337&gt;0,Ruimtestaat[[#This Row],[Prest. (m2 /jaar) werkdagen]]/Ruimtestaat[[#This Row],[Norm (m2/uur) werkdagen]],0)</f>
        <v>0</v>
      </c>
      <c r="X337" s="243">
        <f>Ruimtestaat[[#This Row],[uren / jaar werkdagen]]*Tariefsopbouw!$D$38</f>
        <v>0</v>
      </c>
      <c r="Y337" s="33"/>
      <c r="Z337" s="33">
        <f>IF(Ruimtestaat[[#This Row],[Frequentie weekend]]&gt;0,VALUE(LEFT(Y337,1))*R337,0)</f>
        <v>0</v>
      </c>
      <c r="AA337" s="33">
        <f>IF($Z337&gt;0,VLOOKUP($J337,Ruimtegroepen[],3,FALSE)*VLOOKUP($L337,Vloersoorten[],3,FALSE)*VLOOKUP($Y337,Frequenties[],3,FALSE)*VLOOKUP(#REF!,Locaties[],3,FALSE),0)</f>
        <v>0</v>
      </c>
      <c r="AB337" s="33"/>
      <c r="AC337" s="33"/>
      <c r="AD337" s="33">
        <f>Ruimtestaat[[#This Row],[uren / jaar weekend]]*Tariefsopbouw!$D$40</f>
        <v>0</v>
      </c>
      <c r="AE337" s="86">
        <f>Ruimtestaat[[#This Row],[Prest. (m2 /jaar) weekend]]+Ruimtestaat[[#This Row],[Prest. (m2 /jaar) werkdagen]]</f>
        <v>7560</v>
      </c>
      <c r="AF337" s="86">
        <f>Ruimtestaat[[#This Row],[uren / jaar weekend]]+Ruimtestaat[[#This Row],[uren / jaar werkdagen]]</f>
        <v>0</v>
      </c>
      <c r="AG337" s="87">
        <f>Ruimtestaat[[#This Row],[kosten / jaar weekend]]+Ruimtestaat[[#This Row],[kosten / jaar werkdagen]]</f>
        <v>0</v>
      </c>
    </row>
    <row r="338" spans="1:33" ht="15" customHeight="1">
      <c r="A338" s="187">
        <v>4</v>
      </c>
      <c r="B338" s="21" t="str">
        <f>VLOOKUP(Ruimtestaat[[#This Row],[Code]],Locaties[#All],2,FALSE)</f>
        <v xml:space="preserve">Lyceumstraat </v>
      </c>
      <c r="C338" s="247" t="str">
        <f>VLOOKUP(Ruimtestaat[[#This Row],[Code]],Locaties[#All],4,FALSE)</f>
        <v>Lyceumstraat 36</v>
      </c>
      <c r="D338" s="247" t="str">
        <f>VLOOKUP(Ruimtestaat[[#This Row],[Code]],Locaties[#All],5,FALSE)</f>
        <v>7572 CR</v>
      </c>
      <c r="E338" s="187" t="str">
        <f>VLOOKUP(Ruimtestaat[[#This Row],[Code]],Locaties[#All],6,FALSE)</f>
        <v>Oldenzaal</v>
      </c>
      <c r="F338" s="248"/>
      <c r="G338" s="246">
        <v>2</v>
      </c>
      <c r="H338" s="246" t="s">
        <v>1003</v>
      </c>
      <c r="I338" s="248" t="s">
        <v>465</v>
      </c>
      <c r="J338" s="187">
        <v>16</v>
      </c>
      <c r="K338" s="187" t="str">
        <f>VLOOKUP(Ruimtestaat[[#This Row],[Ruimte code]],Ruimtegroepen[#All],2,FALSE)</f>
        <v>Leslokalen/computerlokaal</v>
      </c>
      <c r="L338" s="247" t="s">
        <v>677</v>
      </c>
      <c r="M338" s="249" t="s">
        <v>1200</v>
      </c>
      <c r="N338" s="200">
        <v>77</v>
      </c>
      <c r="O338" s="190"/>
      <c r="P338" s="231" t="str">
        <f>VLOOKUP(Ruimtestaat[[#This Row],[Ruimte code]],Ruimtegroepen[#All],4,FALSE)</f>
        <v>L  (Lesruimte)</v>
      </c>
      <c r="Q338" s="201"/>
      <c r="R338" s="202">
        <v>42</v>
      </c>
      <c r="S338" s="202" t="s">
        <v>2</v>
      </c>
      <c r="T338" s="202">
        <f>IF(R338&gt;0,IF(RIGHT(Ruimtestaat[[#This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38" s="202">
        <f>IF(T338&gt;0,VLOOKUP($J338,Ruimtegroepen[],3,FALSE)*VLOOKUP($L338,Vloersoorten[],3,FALSE)*VLOOKUP($S338,Frequenties[],3,FALSE)*VLOOKUP($A338,Locaties[],3,FALSE),0)</f>
        <v>0</v>
      </c>
      <c r="V338" s="202">
        <f>Ruimtestaat[[#This Row],[Uitvoeringen werkdagen]]*Ruimtestaat[[#This Row],[Oppervlak (netto)]]</f>
        <v>16170</v>
      </c>
      <c r="W338" s="242">
        <f>IF(U338&gt;0,Ruimtestaat[[#This Row],[Prest. (m2 /jaar) werkdagen]]/Ruimtestaat[[#This Row],[Norm (m2/uur) werkdagen]],0)</f>
        <v>0</v>
      </c>
      <c r="X338" s="243">
        <f>Ruimtestaat[[#This Row],[uren / jaar werkdagen]]*Tariefsopbouw!$D$38</f>
        <v>0</v>
      </c>
      <c r="Y338" s="33"/>
      <c r="Z338" s="33">
        <f>IF(Ruimtestaat[[#This Row],[Frequentie weekend]]&gt;0,VALUE(LEFT(Y338,1))*R338,0)</f>
        <v>0</v>
      </c>
      <c r="AA338" s="33">
        <f>IF($Z338&gt;0,VLOOKUP($J338,Ruimtegroepen[],3,FALSE)*VLOOKUP($L338,Vloersoorten[],3,FALSE)*VLOOKUP($Y338,Frequenties[],3,FALSE)*VLOOKUP(#REF!,Locaties[],3,FALSE),0)</f>
        <v>0</v>
      </c>
      <c r="AB338" s="33"/>
      <c r="AC338" s="33"/>
      <c r="AD338" s="33">
        <f>Ruimtestaat[[#This Row],[uren / jaar weekend]]*Tariefsopbouw!$D$40</f>
        <v>0</v>
      </c>
      <c r="AE338" s="86">
        <f>Ruimtestaat[[#This Row],[Prest. (m2 /jaar) weekend]]+Ruimtestaat[[#This Row],[Prest. (m2 /jaar) werkdagen]]</f>
        <v>16170</v>
      </c>
      <c r="AF338" s="86">
        <f>Ruimtestaat[[#This Row],[uren / jaar weekend]]+Ruimtestaat[[#This Row],[uren / jaar werkdagen]]</f>
        <v>0</v>
      </c>
      <c r="AG338" s="87">
        <f>Ruimtestaat[[#This Row],[kosten / jaar weekend]]+Ruimtestaat[[#This Row],[kosten / jaar werkdagen]]</f>
        <v>0</v>
      </c>
    </row>
    <row r="339" spans="1:33" ht="15" customHeight="1">
      <c r="A339" s="187">
        <v>4</v>
      </c>
      <c r="B339" s="21" t="str">
        <f>VLOOKUP(Ruimtestaat[[#This Row],[Code]],Locaties[#All],2,FALSE)</f>
        <v xml:space="preserve">Lyceumstraat </v>
      </c>
      <c r="C339" s="247" t="str">
        <f>VLOOKUP(Ruimtestaat[[#This Row],[Code]],Locaties[#All],4,FALSE)</f>
        <v>Lyceumstraat 36</v>
      </c>
      <c r="D339" s="247" t="str">
        <f>VLOOKUP(Ruimtestaat[[#This Row],[Code]],Locaties[#All],5,FALSE)</f>
        <v>7572 CR</v>
      </c>
      <c r="E339" s="187" t="str">
        <f>VLOOKUP(Ruimtestaat[[#This Row],[Code]],Locaties[#All],6,FALSE)</f>
        <v>Oldenzaal</v>
      </c>
      <c r="F339" s="248"/>
      <c r="G339" s="246">
        <v>2</v>
      </c>
      <c r="H339" s="246" t="s">
        <v>1004</v>
      </c>
      <c r="I339" s="248" t="s">
        <v>608</v>
      </c>
      <c r="J339" s="187">
        <v>5</v>
      </c>
      <c r="K339" s="187" t="str">
        <f>VLOOKUP(Ruimtestaat[[#This Row],[Ruimte code]],Ruimtegroepen[#All],2,FALSE)</f>
        <v>Sanitair</v>
      </c>
      <c r="L339" s="247" t="s">
        <v>677</v>
      </c>
      <c r="M339" s="249" t="s">
        <v>1200</v>
      </c>
      <c r="N339" s="200">
        <v>15</v>
      </c>
      <c r="O339" s="190"/>
      <c r="P339" s="231" t="str">
        <f>VLOOKUP(Ruimtestaat[[#This Row],[Ruimte code]],Ruimtegroepen[#All],4,FALSE)</f>
        <v>S  (Sanitair)</v>
      </c>
      <c r="Q339" s="201"/>
      <c r="R339" s="202">
        <v>42</v>
      </c>
      <c r="S339" s="202" t="s">
        <v>19</v>
      </c>
      <c r="T339" s="202">
        <f>IF(R339&gt;0,IF(RIGHT(Ruimtestaat[[#This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339" s="202">
        <f>IF(T339&gt;0,VLOOKUP($J339,Ruimtegroepen[],3,FALSE)*VLOOKUP($L339,Vloersoorten[],3,FALSE)*VLOOKUP($S339,Frequenties[],3,FALSE)*VLOOKUP($A339,Locaties[],3,FALSE),0)</f>
        <v>0</v>
      </c>
      <c r="V339" s="202">
        <f>Ruimtestaat[[#This Row],[Uitvoeringen werkdagen]]*Ruimtestaat[[#This Row],[Oppervlak (netto)]]</f>
        <v>6300</v>
      </c>
      <c r="W339" s="242">
        <f>IF(U339&gt;0,Ruimtestaat[[#This Row],[Prest. (m2 /jaar) werkdagen]]/Ruimtestaat[[#This Row],[Norm (m2/uur) werkdagen]],0)</f>
        <v>0</v>
      </c>
      <c r="X339" s="243">
        <f>Ruimtestaat[[#This Row],[uren / jaar werkdagen]]*Tariefsopbouw!$D$38</f>
        <v>0</v>
      </c>
      <c r="Y339" s="33"/>
      <c r="Z339" s="33">
        <f>IF(Ruimtestaat[[#This Row],[Frequentie weekend]]&gt;0,VALUE(LEFT(Y339,1))*R339,0)</f>
        <v>0</v>
      </c>
      <c r="AA339" s="33">
        <f>IF($Z339&gt;0,VLOOKUP($J339,Ruimtegroepen[],3,FALSE)*VLOOKUP($L339,Vloersoorten[],3,FALSE)*VLOOKUP($Y339,Frequenties[],3,FALSE)*VLOOKUP(#REF!,Locaties[],3,FALSE),0)</f>
        <v>0</v>
      </c>
      <c r="AB339" s="33"/>
      <c r="AC339" s="33"/>
      <c r="AD339" s="33">
        <f>Ruimtestaat[[#This Row],[uren / jaar weekend]]*Tariefsopbouw!$D$40</f>
        <v>0</v>
      </c>
      <c r="AE339" s="86">
        <f>Ruimtestaat[[#This Row],[Prest. (m2 /jaar) weekend]]+Ruimtestaat[[#This Row],[Prest. (m2 /jaar) werkdagen]]</f>
        <v>6300</v>
      </c>
      <c r="AF339" s="86">
        <f>Ruimtestaat[[#This Row],[uren / jaar weekend]]+Ruimtestaat[[#This Row],[uren / jaar werkdagen]]</f>
        <v>0</v>
      </c>
      <c r="AG339" s="87">
        <f>Ruimtestaat[[#This Row],[kosten / jaar weekend]]+Ruimtestaat[[#This Row],[kosten / jaar werkdagen]]</f>
        <v>0</v>
      </c>
    </row>
    <row r="340" spans="1:33" ht="15" customHeight="1">
      <c r="A340" s="187">
        <v>4</v>
      </c>
      <c r="B340" s="21" t="str">
        <f>VLOOKUP(Ruimtestaat[[#This Row],[Code]],Locaties[#All],2,FALSE)</f>
        <v xml:space="preserve">Lyceumstraat </v>
      </c>
      <c r="C340" s="247" t="str">
        <f>VLOOKUP(Ruimtestaat[[#This Row],[Code]],Locaties[#All],4,FALSE)</f>
        <v>Lyceumstraat 36</v>
      </c>
      <c r="D340" s="247" t="str">
        <f>VLOOKUP(Ruimtestaat[[#This Row],[Code]],Locaties[#All],5,FALSE)</f>
        <v>7572 CR</v>
      </c>
      <c r="E340" s="187" t="str">
        <f>VLOOKUP(Ruimtestaat[[#This Row],[Code]],Locaties[#All],6,FALSE)</f>
        <v>Oldenzaal</v>
      </c>
      <c r="F340" s="248"/>
      <c r="G340" s="246">
        <v>2</v>
      </c>
      <c r="H340" s="246" t="s">
        <v>1005</v>
      </c>
      <c r="I340" s="248" t="s">
        <v>414</v>
      </c>
      <c r="J340" s="187">
        <v>6</v>
      </c>
      <c r="K340" s="187" t="str">
        <f>VLOOKUP(Ruimtestaat[[#This Row],[Ruimte code]],Ruimtegroepen[#All],2,FALSE)</f>
        <v>Gangen/hallen</v>
      </c>
      <c r="L340" s="247" t="s">
        <v>677</v>
      </c>
      <c r="M340" s="249" t="s">
        <v>1200</v>
      </c>
      <c r="N340" s="200">
        <v>75</v>
      </c>
      <c r="O340" s="190"/>
      <c r="P340" s="231" t="str">
        <f>VLOOKUP(Ruimtestaat[[#This Row],[Ruimte code]],Ruimtegroepen[#All],4,FALSE)</f>
        <v>V  (Verkeersruimte)</v>
      </c>
      <c r="Q340" s="201"/>
      <c r="R340" s="202">
        <v>42</v>
      </c>
      <c r="S340" s="202" t="s">
        <v>2</v>
      </c>
      <c r="T340" s="202">
        <f>IF(R340&gt;0,IF(RIGHT(Ruimtestaat[[#This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40" s="202">
        <f>IF(T340&gt;0,VLOOKUP($J340,Ruimtegroepen[],3,FALSE)*VLOOKUP($L340,Vloersoorten[],3,FALSE)*VLOOKUP($S340,Frequenties[],3,FALSE)*VLOOKUP($A340,Locaties[],3,FALSE),0)</f>
        <v>0</v>
      </c>
      <c r="V340" s="202">
        <f>Ruimtestaat[[#This Row],[Uitvoeringen werkdagen]]*Ruimtestaat[[#This Row],[Oppervlak (netto)]]</f>
        <v>15750</v>
      </c>
      <c r="W340" s="242">
        <f>IF(U340&gt;0,Ruimtestaat[[#This Row],[Prest. (m2 /jaar) werkdagen]]/Ruimtestaat[[#This Row],[Norm (m2/uur) werkdagen]],0)</f>
        <v>0</v>
      </c>
      <c r="X340" s="243">
        <f>Ruimtestaat[[#This Row],[uren / jaar werkdagen]]*Tariefsopbouw!$D$38</f>
        <v>0</v>
      </c>
      <c r="Y340" s="33"/>
      <c r="Z340" s="33">
        <f>IF(Ruimtestaat[[#This Row],[Frequentie weekend]]&gt;0,VALUE(LEFT(Y340,1))*R340,0)</f>
        <v>0</v>
      </c>
      <c r="AA340" s="33">
        <f>IF($Z340&gt;0,VLOOKUP($J340,Ruimtegroepen[],3,FALSE)*VLOOKUP($L340,Vloersoorten[],3,FALSE)*VLOOKUP($Y340,Frequenties[],3,FALSE)*VLOOKUP(#REF!,Locaties[],3,FALSE),0)</f>
        <v>0</v>
      </c>
      <c r="AB340" s="33"/>
      <c r="AC340" s="33"/>
      <c r="AD340" s="33">
        <f>Ruimtestaat[[#This Row],[uren / jaar weekend]]*Tariefsopbouw!$D$40</f>
        <v>0</v>
      </c>
      <c r="AE340" s="86">
        <f>Ruimtestaat[[#This Row],[Prest. (m2 /jaar) weekend]]+Ruimtestaat[[#This Row],[Prest. (m2 /jaar) werkdagen]]</f>
        <v>15750</v>
      </c>
      <c r="AF340" s="86">
        <f>Ruimtestaat[[#This Row],[uren / jaar weekend]]+Ruimtestaat[[#This Row],[uren / jaar werkdagen]]</f>
        <v>0</v>
      </c>
      <c r="AG340" s="87">
        <f>Ruimtestaat[[#This Row],[kosten / jaar weekend]]+Ruimtestaat[[#This Row],[kosten / jaar werkdagen]]</f>
        <v>0</v>
      </c>
    </row>
    <row r="341" spans="1:33" ht="15" customHeight="1">
      <c r="A341" s="187">
        <v>4</v>
      </c>
      <c r="B341" s="21" t="str">
        <f>VLOOKUP(Ruimtestaat[[#This Row],[Code]],Locaties[#All],2,FALSE)</f>
        <v xml:space="preserve">Lyceumstraat </v>
      </c>
      <c r="C341" s="247" t="str">
        <f>VLOOKUP(Ruimtestaat[[#This Row],[Code]],Locaties[#All],4,FALSE)</f>
        <v>Lyceumstraat 36</v>
      </c>
      <c r="D341" s="247" t="str">
        <f>VLOOKUP(Ruimtestaat[[#This Row],[Code]],Locaties[#All],5,FALSE)</f>
        <v>7572 CR</v>
      </c>
      <c r="E341" s="187" t="str">
        <f>VLOOKUP(Ruimtestaat[[#This Row],[Code]],Locaties[#All],6,FALSE)</f>
        <v>Oldenzaal</v>
      </c>
      <c r="F341" s="248"/>
      <c r="G341" s="246">
        <v>3</v>
      </c>
      <c r="H341" s="246" t="s">
        <v>1006</v>
      </c>
      <c r="I341" s="248" t="s">
        <v>996</v>
      </c>
      <c r="J341" s="187">
        <v>14</v>
      </c>
      <c r="K341" s="187" t="str">
        <f>VLOOKUP(Ruimtestaat[[#This Row],[Ruimte code]],Ruimtegroepen[#All],2,FALSE)</f>
        <v>Praktijklokalen/kabinet</v>
      </c>
      <c r="L341" s="247" t="s">
        <v>677</v>
      </c>
      <c r="M341" s="249" t="s">
        <v>1200</v>
      </c>
      <c r="N341" s="200">
        <v>132</v>
      </c>
      <c r="O341" s="190"/>
      <c r="P341" s="231" t="str">
        <f>VLOOKUP(Ruimtestaat[[#This Row],[Ruimte code]],Ruimtegroepen[#All],4,FALSE)</f>
        <v>L  (Lesruimte)</v>
      </c>
      <c r="Q341" s="201"/>
      <c r="R341" s="202">
        <v>42</v>
      </c>
      <c r="S341" s="202" t="s">
        <v>2</v>
      </c>
      <c r="T341" s="202">
        <f>IF(R341&gt;0,IF(RIGHT(Ruimtestaat[[#This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41" s="202">
        <f>IF(T341&gt;0,VLOOKUP($J341,Ruimtegroepen[],3,FALSE)*VLOOKUP($L341,Vloersoorten[],3,FALSE)*VLOOKUP($S341,Frequenties[],3,FALSE)*VLOOKUP($A341,Locaties[],3,FALSE),0)</f>
        <v>0</v>
      </c>
      <c r="V341" s="202">
        <f>Ruimtestaat[[#This Row],[Uitvoeringen werkdagen]]*Ruimtestaat[[#This Row],[Oppervlak (netto)]]</f>
        <v>27720</v>
      </c>
      <c r="W341" s="242">
        <f>IF(U341&gt;0,Ruimtestaat[[#This Row],[Prest. (m2 /jaar) werkdagen]]/Ruimtestaat[[#This Row],[Norm (m2/uur) werkdagen]],0)</f>
        <v>0</v>
      </c>
      <c r="X341" s="243">
        <f>Ruimtestaat[[#This Row],[uren / jaar werkdagen]]*Tariefsopbouw!$D$38</f>
        <v>0</v>
      </c>
      <c r="Y341" s="33"/>
      <c r="Z341" s="33">
        <f>IF(Ruimtestaat[[#This Row],[Frequentie weekend]]&gt;0,VALUE(LEFT(Y341,1))*R341,0)</f>
        <v>0</v>
      </c>
      <c r="AA341" s="33">
        <f>IF($Z341&gt;0,VLOOKUP($J341,Ruimtegroepen[],3,FALSE)*VLOOKUP($L341,Vloersoorten[],3,FALSE)*VLOOKUP($Y341,Frequenties[],3,FALSE)*VLOOKUP(#REF!,Locaties[],3,FALSE),0)</f>
        <v>0</v>
      </c>
      <c r="AB341" s="33"/>
      <c r="AC341" s="33"/>
      <c r="AD341" s="33">
        <f>Ruimtestaat[[#This Row],[uren / jaar weekend]]*Tariefsopbouw!$D$40</f>
        <v>0</v>
      </c>
      <c r="AE341" s="86">
        <f>Ruimtestaat[[#This Row],[Prest. (m2 /jaar) weekend]]+Ruimtestaat[[#This Row],[Prest. (m2 /jaar) werkdagen]]</f>
        <v>27720</v>
      </c>
      <c r="AF341" s="86">
        <f>Ruimtestaat[[#This Row],[uren / jaar weekend]]+Ruimtestaat[[#This Row],[uren / jaar werkdagen]]</f>
        <v>0</v>
      </c>
      <c r="AG341" s="87">
        <f>Ruimtestaat[[#This Row],[kosten / jaar weekend]]+Ruimtestaat[[#This Row],[kosten / jaar werkdagen]]</f>
        <v>0</v>
      </c>
    </row>
    <row r="342" spans="1:33" ht="15" customHeight="1">
      <c r="A342" s="187">
        <v>4</v>
      </c>
      <c r="B342" s="21" t="str">
        <f>VLOOKUP(Ruimtestaat[[#This Row],[Code]],Locaties[#All],2,FALSE)</f>
        <v xml:space="preserve">Lyceumstraat </v>
      </c>
      <c r="C342" s="247" t="str">
        <f>VLOOKUP(Ruimtestaat[[#This Row],[Code]],Locaties[#All],4,FALSE)</f>
        <v>Lyceumstraat 36</v>
      </c>
      <c r="D342" s="247" t="str">
        <f>VLOOKUP(Ruimtestaat[[#This Row],[Code]],Locaties[#All],5,FALSE)</f>
        <v>7572 CR</v>
      </c>
      <c r="E342" s="187" t="str">
        <f>VLOOKUP(Ruimtestaat[[#This Row],[Code]],Locaties[#All],6,FALSE)</f>
        <v>Oldenzaal</v>
      </c>
      <c r="F342" s="248"/>
      <c r="G342" s="246">
        <v>3</v>
      </c>
      <c r="H342" s="246" t="s">
        <v>1007</v>
      </c>
      <c r="I342" s="248" t="s">
        <v>442</v>
      </c>
      <c r="J342" s="187">
        <v>1</v>
      </c>
      <c r="K342" s="187" t="str">
        <f>VLOOKUP(Ruimtestaat[[#This Row],[Ruimte code]],Ruimtegroepen[#All],2,FALSE)</f>
        <v>Magazijnen/bergingen</v>
      </c>
      <c r="L342" s="247" t="s">
        <v>1204</v>
      </c>
      <c r="M342" s="249" t="s">
        <v>1205</v>
      </c>
      <c r="N342" s="200">
        <v>40</v>
      </c>
      <c r="O342" s="190"/>
      <c r="P342" s="231" t="str">
        <f>VLOOKUP(Ruimtestaat[[#This Row],[Ruimte code]],Ruimtegroepen[#All],4,FALSE)</f>
        <v>V  (Verkeersruimte)</v>
      </c>
      <c r="Q342" s="201"/>
      <c r="R342" s="202">
        <v>42</v>
      </c>
      <c r="S342" s="202" t="s">
        <v>15</v>
      </c>
      <c r="T342" s="202">
        <f>IF(R342&gt;0,IF(RIGHT(Ruimtestaat[[#This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342" s="202">
        <f>IF(T342&gt;0,VLOOKUP($J342,Ruimtegroepen[],3,FALSE)*VLOOKUP($L342,Vloersoorten[],3,FALSE)*VLOOKUP($S342,Frequenties[],3,FALSE)*VLOOKUP($A342,Locaties[],3,FALSE),0)</f>
        <v>0</v>
      </c>
      <c r="V342" s="202">
        <f>Ruimtestaat[[#This Row],[Uitvoeringen werkdagen]]*Ruimtestaat[[#This Row],[Oppervlak (netto)]]</f>
        <v>1680</v>
      </c>
      <c r="W342" s="242">
        <f>IF(U342&gt;0,Ruimtestaat[[#This Row],[Prest. (m2 /jaar) werkdagen]]/Ruimtestaat[[#This Row],[Norm (m2/uur) werkdagen]],0)</f>
        <v>0</v>
      </c>
      <c r="X342" s="243">
        <f>Ruimtestaat[[#This Row],[uren / jaar werkdagen]]*Tariefsopbouw!$D$38</f>
        <v>0</v>
      </c>
      <c r="Y342" s="33"/>
      <c r="Z342" s="33">
        <f>IF(Ruimtestaat[[#This Row],[Frequentie weekend]]&gt;0,VALUE(LEFT(Y342,1))*R342,0)</f>
        <v>0</v>
      </c>
      <c r="AA342" s="33">
        <f>IF($Z342&gt;0,VLOOKUP($J342,Ruimtegroepen[],3,FALSE)*VLOOKUP($L342,Vloersoorten[],3,FALSE)*VLOOKUP($Y342,Frequenties[],3,FALSE)*VLOOKUP(#REF!,Locaties[],3,FALSE),0)</f>
        <v>0</v>
      </c>
      <c r="AB342" s="33"/>
      <c r="AC342" s="33"/>
      <c r="AD342" s="33">
        <f>Ruimtestaat[[#This Row],[uren / jaar weekend]]*Tariefsopbouw!$D$40</f>
        <v>0</v>
      </c>
      <c r="AE342" s="86">
        <f>Ruimtestaat[[#This Row],[Prest. (m2 /jaar) weekend]]+Ruimtestaat[[#This Row],[Prest. (m2 /jaar) werkdagen]]</f>
        <v>1680</v>
      </c>
      <c r="AF342" s="86">
        <f>Ruimtestaat[[#This Row],[uren / jaar weekend]]+Ruimtestaat[[#This Row],[uren / jaar werkdagen]]</f>
        <v>0</v>
      </c>
      <c r="AG342" s="87">
        <f>Ruimtestaat[[#This Row],[kosten / jaar weekend]]+Ruimtestaat[[#This Row],[kosten / jaar werkdagen]]</f>
        <v>0</v>
      </c>
    </row>
    <row r="343" spans="1:33" ht="15" customHeight="1">
      <c r="A343" s="187">
        <v>4</v>
      </c>
      <c r="B343" s="21" t="str">
        <f>VLOOKUP(Ruimtestaat[[#This Row],[Code]],Locaties[#All],2,FALSE)</f>
        <v xml:space="preserve">Lyceumstraat </v>
      </c>
      <c r="C343" s="247" t="str">
        <f>VLOOKUP(Ruimtestaat[[#This Row],[Code]],Locaties[#All],4,FALSE)</f>
        <v>Lyceumstraat 36</v>
      </c>
      <c r="D343" s="247" t="str">
        <f>VLOOKUP(Ruimtestaat[[#This Row],[Code]],Locaties[#All],5,FALSE)</f>
        <v>7572 CR</v>
      </c>
      <c r="E343" s="187" t="str">
        <f>VLOOKUP(Ruimtestaat[[#This Row],[Code]],Locaties[#All],6,FALSE)</f>
        <v>Oldenzaal</v>
      </c>
      <c r="F343" s="248"/>
      <c r="G343" s="246">
        <v>3</v>
      </c>
      <c r="H343" s="246" t="s">
        <v>1008</v>
      </c>
      <c r="I343" s="248" t="s">
        <v>442</v>
      </c>
      <c r="J343" s="231">
        <v>20</v>
      </c>
      <c r="K343" s="231" t="str">
        <f>VLOOKUP(Ruimtestaat[[#This Row],[Ruimte code]],Ruimtegroepen[#All],2,FALSE)</f>
        <v>Niet in onderhoud</v>
      </c>
      <c r="L343" s="247" t="s">
        <v>1204</v>
      </c>
      <c r="M343" s="249" t="s">
        <v>1205</v>
      </c>
      <c r="N343" s="200"/>
      <c r="O343" s="190">
        <v>15</v>
      </c>
      <c r="P343" s="231" t="str">
        <f>VLOOKUP(Ruimtestaat[[#This Row],[Ruimte code]],Ruimtegroepen[#All],4,FALSE)</f>
        <v>V  (Verkeersruimte)</v>
      </c>
      <c r="Q343" s="201"/>
      <c r="R343" s="202"/>
      <c r="S343" s="202"/>
      <c r="T343" s="202">
        <f>IF(R343&gt;0,IF(RIGHT(Ruimtestaat[[#This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343" s="202">
        <f>IF(T343&gt;0,VLOOKUP($J343,Ruimtegroepen[],3,FALSE)*VLOOKUP($L343,Vloersoorten[],3,FALSE)*VLOOKUP($S343,Frequenties[],3,FALSE)*VLOOKUP($A343,Locaties[],3,FALSE),0)</f>
        <v>0</v>
      </c>
      <c r="V343" s="202">
        <f>Ruimtestaat[[#This Row],[Uitvoeringen werkdagen]]*Ruimtestaat[[#This Row],[Oppervlak (netto)]]</f>
        <v>0</v>
      </c>
      <c r="W343" s="242">
        <f>IF(U343&gt;0,Ruimtestaat[[#This Row],[Prest. (m2 /jaar) werkdagen]]/Ruimtestaat[[#This Row],[Norm (m2/uur) werkdagen]],0)</f>
        <v>0</v>
      </c>
      <c r="X343" s="243">
        <f>Ruimtestaat[[#This Row],[uren / jaar werkdagen]]*Tariefsopbouw!$D$38</f>
        <v>0</v>
      </c>
      <c r="Y343" s="33"/>
      <c r="Z343" s="33">
        <f>IF(Ruimtestaat[[#This Row],[Frequentie weekend]]&gt;0,VALUE(LEFT(Y343,1))*R343,0)</f>
        <v>0</v>
      </c>
      <c r="AA343" s="33">
        <f>IF($Z343&gt;0,VLOOKUP($J343,Ruimtegroepen[],3,FALSE)*VLOOKUP($L343,Vloersoorten[],3,FALSE)*VLOOKUP($Y343,Frequenties[],3,FALSE)*VLOOKUP(#REF!,Locaties[],3,FALSE),0)</f>
        <v>0</v>
      </c>
      <c r="AB343" s="33"/>
      <c r="AC343" s="33"/>
      <c r="AD343" s="33">
        <f>Ruimtestaat[[#This Row],[uren / jaar weekend]]*Tariefsopbouw!$D$40</f>
        <v>0</v>
      </c>
      <c r="AE343" s="86">
        <f>Ruimtestaat[[#This Row],[Prest. (m2 /jaar) weekend]]+Ruimtestaat[[#This Row],[Prest. (m2 /jaar) werkdagen]]</f>
        <v>0</v>
      </c>
      <c r="AF343" s="86">
        <f>Ruimtestaat[[#This Row],[uren / jaar weekend]]+Ruimtestaat[[#This Row],[uren / jaar werkdagen]]</f>
        <v>0</v>
      </c>
      <c r="AG343" s="87">
        <f>Ruimtestaat[[#This Row],[kosten / jaar weekend]]+Ruimtestaat[[#This Row],[kosten / jaar werkdagen]]</f>
        <v>0</v>
      </c>
    </row>
    <row r="344" spans="1:33" ht="15" customHeight="1">
      <c r="A344" s="187">
        <v>4</v>
      </c>
      <c r="B344" s="21" t="str">
        <f>VLOOKUP(Ruimtestaat[[#This Row],[Code]],Locaties[#All],2,FALSE)</f>
        <v xml:space="preserve">Lyceumstraat </v>
      </c>
      <c r="C344" s="247" t="str">
        <f>VLOOKUP(Ruimtestaat[[#This Row],[Code]],Locaties[#All],4,FALSE)</f>
        <v>Lyceumstraat 36</v>
      </c>
      <c r="D344" s="247" t="str">
        <f>VLOOKUP(Ruimtestaat[[#This Row],[Code]],Locaties[#All],5,FALSE)</f>
        <v>7572 CR</v>
      </c>
      <c r="E344" s="187" t="str">
        <f>VLOOKUP(Ruimtestaat[[#This Row],[Code]],Locaties[#All],6,FALSE)</f>
        <v>Oldenzaal</v>
      </c>
      <c r="F344" s="248"/>
      <c r="G344" s="246">
        <v>3</v>
      </c>
      <c r="H344" s="246" t="s">
        <v>1009</v>
      </c>
      <c r="I344" s="248" t="s">
        <v>1010</v>
      </c>
      <c r="J344" s="187">
        <v>14</v>
      </c>
      <c r="K344" s="187" t="str">
        <f>VLOOKUP(Ruimtestaat[[#This Row],[Ruimte code]],Ruimtegroepen[#All],2,FALSE)</f>
        <v>Praktijklokalen/kabinet</v>
      </c>
      <c r="L344" s="247" t="s">
        <v>677</v>
      </c>
      <c r="M344" s="249" t="s">
        <v>1200</v>
      </c>
      <c r="N344" s="200">
        <v>76</v>
      </c>
      <c r="O344" s="190"/>
      <c r="P344" s="231" t="str">
        <f>VLOOKUP(Ruimtestaat[[#This Row],[Ruimte code]],Ruimtegroepen[#All],4,FALSE)</f>
        <v>L  (Lesruimte)</v>
      </c>
      <c r="Q344" s="201"/>
      <c r="R344" s="202">
        <v>42</v>
      </c>
      <c r="S344" s="202" t="s">
        <v>2</v>
      </c>
      <c r="T344" s="202">
        <f>IF(R344&gt;0,IF(RIGHT(Ruimtestaat[[#This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44" s="202">
        <f>IF(T344&gt;0,VLOOKUP($J344,Ruimtegroepen[],3,FALSE)*VLOOKUP($L344,Vloersoorten[],3,FALSE)*VLOOKUP($S344,Frequenties[],3,FALSE)*VLOOKUP($A344,Locaties[],3,FALSE),0)</f>
        <v>0</v>
      </c>
      <c r="V344" s="202">
        <f>Ruimtestaat[[#This Row],[Uitvoeringen werkdagen]]*Ruimtestaat[[#This Row],[Oppervlak (netto)]]</f>
        <v>15960</v>
      </c>
      <c r="W344" s="242">
        <f>IF(U344&gt;0,Ruimtestaat[[#This Row],[Prest. (m2 /jaar) werkdagen]]/Ruimtestaat[[#This Row],[Norm (m2/uur) werkdagen]],0)</f>
        <v>0</v>
      </c>
      <c r="X344" s="243">
        <f>Ruimtestaat[[#This Row],[uren / jaar werkdagen]]*Tariefsopbouw!$D$38</f>
        <v>0</v>
      </c>
      <c r="Y344" s="33"/>
      <c r="Z344" s="33">
        <f>IF(Ruimtestaat[[#This Row],[Frequentie weekend]]&gt;0,VALUE(LEFT(Y344,1))*R344,0)</f>
        <v>0</v>
      </c>
      <c r="AA344" s="33">
        <f>IF($Z344&gt;0,VLOOKUP($J344,Ruimtegroepen[],3,FALSE)*VLOOKUP($L344,Vloersoorten[],3,FALSE)*VLOOKUP($Y344,Frequenties[],3,FALSE)*VLOOKUP(#REF!,Locaties[],3,FALSE),0)</f>
        <v>0</v>
      </c>
      <c r="AB344" s="33"/>
      <c r="AC344" s="33"/>
      <c r="AD344" s="33">
        <f>Ruimtestaat[[#This Row],[uren / jaar weekend]]*Tariefsopbouw!$D$40</f>
        <v>0</v>
      </c>
      <c r="AE344" s="86">
        <f>Ruimtestaat[[#This Row],[Prest. (m2 /jaar) weekend]]+Ruimtestaat[[#This Row],[Prest. (m2 /jaar) werkdagen]]</f>
        <v>15960</v>
      </c>
      <c r="AF344" s="86">
        <f>Ruimtestaat[[#This Row],[uren / jaar weekend]]+Ruimtestaat[[#This Row],[uren / jaar werkdagen]]</f>
        <v>0</v>
      </c>
      <c r="AG344" s="87">
        <f>Ruimtestaat[[#This Row],[kosten / jaar weekend]]+Ruimtestaat[[#This Row],[kosten / jaar werkdagen]]</f>
        <v>0</v>
      </c>
    </row>
    <row r="345" spans="1:33" ht="15" customHeight="1">
      <c r="A345" s="187">
        <v>4</v>
      </c>
      <c r="B345" s="21" t="str">
        <f>VLOOKUP(Ruimtestaat[[#This Row],[Code]],Locaties[#All],2,FALSE)</f>
        <v xml:space="preserve">Lyceumstraat </v>
      </c>
      <c r="C345" s="247" t="str">
        <f>VLOOKUP(Ruimtestaat[[#This Row],[Code]],Locaties[#All],4,FALSE)</f>
        <v>Lyceumstraat 36</v>
      </c>
      <c r="D345" s="247" t="str">
        <f>VLOOKUP(Ruimtestaat[[#This Row],[Code]],Locaties[#All],5,FALSE)</f>
        <v>7572 CR</v>
      </c>
      <c r="E345" s="187" t="str">
        <f>VLOOKUP(Ruimtestaat[[#This Row],[Code]],Locaties[#All],6,FALSE)</f>
        <v>Oldenzaal</v>
      </c>
      <c r="F345" s="248"/>
      <c r="G345" s="246">
        <v>3</v>
      </c>
      <c r="H345" s="246" t="s">
        <v>1011</v>
      </c>
      <c r="I345" s="248" t="s">
        <v>591</v>
      </c>
      <c r="J345" s="247">
        <v>5</v>
      </c>
      <c r="K345" s="247" t="str">
        <f>VLOOKUP(Ruimtestaat[[#This Row],[Ruimte code]],Ruimtegroepen[#All],2,FALSE)</f>
        <v>Sanitair</v>
      </c>
      <c r="L345" s="247" t="s">
        <v>677</v>
      </c>
      <c r="M345" s="249" t="s">
        <v>1200</v>
      </c>
      <c r="N345" s="200">
        <v>15</v>
      </c>
      <c r="O345" s="190"/>
      <c r="P345" s="231" t="str">
        <f>VLOOKUP(Ruimtestaat[[#This Row],[Ruimte code]],Ruimtegroepen[#All],4,FALSE)</f>
        <v>S  (Sanitair)</v>
      </c>
      <c r="Q345" s="201"/>
      <c r="R345" s="202">
        <v>42</v>
      </c>
      <c r="S345" s="202" t="s">
        <v>19</v>
      </c>
      <c r="T345" s="202">
        <f>IF(R345&gt;0,IF(RIGHT(Ruimtestaat[[#This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345" s="202">
        <f>IF(T345&gt;0,VLOOKUP($J345,Ruimtegroepen[],3,FALSE)*VLOOKUP($L345,Vloersoorten[],3,FALSE)*VLOOKUP($S345,Frequenties[],3,FALSE)*VLOOKUP($A345,Locaties[],3,FALSE),0)</f>
        <v>0</v>
      </c>
      <c r="V345" s="202">
        <f>Ruimtestaat[[#This Row],[Uitvoeringen werkdagen]]*Ruimtestaat[[#This Row],[Oppervlak (netto)]]</f>
        <v>6300</v>
      </c>
      <c r="W345" s="242">
        <f>IF(U345&gt;0,Ruimtestaat[[#This Row],[Prest. (m2 /jaar) werkdagen]]/Ruimtestaat[[#This Row],[Norm (m2/uur) werkdagen]],0)</f>
        <v>0</v>
      </c>
      <c r="X345" s="243">
        <f>Ruimtestaat[[#This Row],[uren / jaar werkdagen]]*Tariefsopbouw!$D$38</f>
        <v>0</v>
      </c>
      <c r="Y345" s="33"/>
      <c r="Z345" s="33">
        <f>IF(Ruimtestaat[[#This Row],[Frequentie weekend]]&gt;0,VALUE(LEFT(Y345,1))*R345,0)</f>
        <v>0</v>
      </c>
      <c r="AA345" s="33">
        <f>IF($Z345&gt;0,VLOOKUP($J345,Ruimtegroepen[],3,FALSE)*VLOOKUP($L345,Vloersoorten[],3,FALSE)*VLOOKUP($Y345,Frequenties[],3,FALSE)*VLOOKUP(#REF!,Locaties[],3,FALSE),0)</f>
        <v>0</v>
      </c>
      <c r="AB345" s="33"/>
      <c r="AC345" s="33"/>
      <c r="AD345" s="33">
        <f>Ruimtestaat[[#This Row],[uren / jaar weekend]]*Tariefsopbouw!$D$40</f>
        <v>0</v>
      </c>
      <c r="AE345" s="86">
        <f>Ruimtestaat[[#This Row],[Prest. (m2 /jaar) weekend]]+Ruimtestaat[[#This Row],[Prest. (m2 /jaar) werkdagen]]</f>
        <v>6300</v>
      </c>
      <c r="AF345" s="86">
        <f>Ruimtestaat[[#This Row],[uren / jaar weekend]]+Ruimtestaat[[#This Row],[uren / jaar werkdagen]]</f>
        <v>0</v>
      </c>
      <c r="AG345" s="87">
        <f>Ruimtestaat[[#This Row],[kosten / jaar weekend]]+Ruimtestaat[[#This Row],[kosten / jaar werkdagen]]</f>
        <v>0</v>
      </c>
    </row>
    <row r="346" spans="1:33" ht="15" customHeight="1">
      <c r="A346" s="187">
        <v>4</v>
      </c>
      <c r="B346" s="21" t="str">
        <f>VLOOKUP(Ruimtestaat[[#This Row],[Code]],Locaties[#All],2,FALSE)</f>
        <v xml:space="preserve">Lyceumstraat </v>
      </c>
      <c r="C346" s="247" t="str">
        <f>VLOOKUP(Ruimtestaat[[#This Row],[Code]],Locaties[#All],4,FALSE)</f>
        <v>Lyceumstraat 36</v>
      </c>
      <c r="D346" s="247" t="str">
        <f>VLOOKUP(Ruimtestaat[[#This Row],[Code]],Locaties[#All],5,FALSE)</f>
        <v>7572 CR</v>
      </c>
      <c r="E346" s="187" t="str">
        <f>VLOOKUP(Ruimtestaat[[#This Row],[Code]],Locaties[#All],6,FALSE)</f>
        <v>Oldenzaal</v>
      </c>
      <c r="F346" s="248"/>
      <c r="G346" s="246">
        <v>3</v>
      </c>
      <c r="H346" s="246" t="s">
        <v>1012</v>
      </c>
      <c r="I346" s="248" t="s">
        <v>596</v>
      </c>
      <c r="J346" s="187">
        <v>10</v>
      </c>
      <c r="K346" s="187" t="str">
        <f>VLOOKUP(Ruimtestaat[[#This Row],[Ruimte code]],Ruimtegroepen[#All],2,FALSE)</f>
        <v>Trappenhuizen/lift</v>
      </c>
      <c r="L346" s="202" t="s">
        <v>108</v>
      </c>
      <c r="M346" s="249" t="s">
        <v>1201</v>
      </c>
      <c r="N346" s="200">
        <v>24</v>
      </c>
      <c r="O346" s="190"/>
      <c r="P346" s="231" t="str">
        <f>VLOOKUP(Ruimtestaat[[#This Row],[Ruimte code]],Ruimtegroepen[#All],4,FALSE)</f>
        <v>V  (Verkeersruimte)</v>
      </c>
      <c r="Q346" s="201"/>
      <c r="R346" s="202">
        <v>42</v>
      </c>
      <c r="S346" s="202" t="s">
        <v>2</v>
      </c>
      <c r="T346" s="202">
        <f>IF(R346&gt;0,IF(RIGHT(Ruimtestaat[[#This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46" s="202">
        <f>IF(T346&gt;0,VLOOKUP($J346,Ruimtegroepen[],3,FALSE)*VLOOKUP($L346,Vloersoorten[],3,FALSE)*VLOOKUP($S346,Frequenties[],3,FALSE)*VLOOKUP($A346,Locaties[],3,FALSE),0)</f>
        <v>0</v>
      </c>
      <c r="V346" s="202">
        <f>Ruimtestaat[[#This Row],[Uitvoeringen werkdagen]]*Ruimtestaat[[#This Row],[Oppervlak (netto)]]</f>
        <v>5040</v>
      </c>
      <c r="W346" s="242">
        <f>IF(U346&gt;0,Ruimtestaat[[#This Row],[Prest. (m2 /jaar) werkdagen]]/Ruimtestaat[[#This Row],[Norm (m2/uur) werkdagen]],0)</f>
        <v>0</v>
      </c>
      <c r="X346" s="243">
        <f>Ruimtestaat[[#This Row],[uren / jaar werkdagen]]*Tariefsopbouw!$D$38</f>
        <v>0</v>
      </c>
      <c r="Y346" s="33"/>
      <c r="Z346" s="33">
        <f>IF(Ruimtestaat[[#This Row],[Frequentie weekend]]&gt;0,VALUE(LEFT(Y346,1))*R346,0)</f>
        <v>0</v>
      </c>
      <c r="AA346" s="33">
        <f>IF($Z346&gt;0,VLOOKUP($J346,Ruimtegroepen[],3,FALSE)*VLOOKUP($L346,Vloersoorten[],3,FALSE)*VLOOKUP($Y346,Frequenties[],3,FALSE)*VLOOKUP(#REF!,Locaties[],3,FALSE),0)</f>
        <v>0</v>
      </c>
      <c r="AB346" s="33"/>
      <c r="AC346" s="33"/>
      <c r="AD346" s="33">
        <f>Ruimtestaat[[#This Row],[uren / jaar weekend]]*Tariefsopbouw!$D$40</f>
        <v>0</v>
      </c>
      <c r="AE346" s="86">
        <f>Ruimtestaat[[#This Row],[Prest. (m2 /jaar) weekend]]+Ruimtestaat[[#This Row],[Prest. (m2 /jaar) werkdagen]]</f>
        <v>5040</v>
      </c>
      <c r="AF346" s="86">
        <f>Ruimtestaat[[#This Row],[uren / jaar weekend]]+Ruimtestaat[[#This Row],[uren / jaar werkdagen]]</f>
        <v>0</v>
      </c>
      <c r="AG346" s="87">
        <f>Ruimtestaat[[#This Row],[kosten / jaar weekend]]+Ruimtestaat[[#This Row],[kosten / jaar werkdagen]]</f>
        <v>0</v>
      </c>
    </row>
    <row r="347" spans="1:33" ht="15" customHeight="1">
      <c r="A347" s="187">
        <v>4</v>
      </c>
      <c r="B347" s="21" t="str">
        <f>VLOOKUP(Ruimtestaat[[#This Row],[Code]],Locaties[#All],2,FALSE)</f>
        <v xml:space="preserve">Lyceumstraat </v>
      </c>
      <c r="C347" s="247" t="str">
        <f>VLOOKUP(Ruimtestaat[[#This Row],[Code]],Locaties[#All],4,FALSE)</f>
        <v>Lyceumstraat 36</v>
      </c>
      <c r="D347" s="247" t="str">
        <f>VLOOKUP(Ruimtestaat[[#This Row],[Code]],Locaties[#All],5,FALSE)</f>
        <v>7572 CR</v>
      </c>
      <c r="E347" s="187" t="str">
        <f>VLOOKUP(Ruimtestaat[[#This Row],[Code]],Locaties[#All],6,FALSE)</f>
        <v>Oldenzaal</v>
      </c>
      <c r="F347" s="248"/>
      <c r="G347" s="246">
        <v>3</v>
      </c>
      <c r="H347" s="246" t="s">
        <v>1013</v>
      </c>
      <c r="I347" s="248" t="s">
        <v>414</v>
      </c>
      <c r="J347" s="231">
        <v>6</v>
      </c>
      <c r="K347" s="231" t="str">
        <f>VLOOKUP(Ruimtestaat[[#This Row],[Ruimte code]],Ruimtegroepen[#All],2,FALSE)</f>
        <v>Gangen/hallen</v>
      </c>
      <c r="L347" s="247" t="s">
        <v>677</v>
      </c>
      <c r="M347" s="249" t="s">
        <v>1200</v>
      </c>
      <c r="N347" s="200">
        <v>14</v>
      </c>
      <c r="O347" s="190"/>
      <c r="P347" s="231" t="str">
        <f>VLOOKUP(Ruimtestaat[[#This Row],[Ruimte code]],Ruimtegroepen[#All],4,FALSE)</f>
        <v>V  (Verkeersruimte)</v>
      </c>
      <c r="Q347" s="201"/>
      <c r="R347" s="202">
        <v>42</v>
      </c>
      <c r="S347" s="202" t="s">
        <v>2</v>
      </c>
      <c r="T347" s="202">
        <f>IF(R347&gt;0,IF(RIGHT(Ruimtestaat[[#This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47" s="202">
        <f>IF(T347&gt;0,VLOOKUP($J347,Ruimtegroepen[],3,FALSE)*VLOOKUP($L347,Vloersoorten[],3,FALSE)*VLOOKUP($S347,Frequenties[],3,FALSE)*VLOOKUP($A347,Locaties[],3,FALSE),0)</f>
        <v>0</v>
      </c>
      <c r="V347" s="202">
        <f>Ruimtestaat[[#This Row],[Uitvoeringen werkdagen]]*Ruimtestaat[[#This Row],[Oppervlak (netto)]]</f>
        <v>2940</v>
      </c>
      <c r="W347" s="242">
        <f>IF(U347&gt;0,Ruimtestaat[[#This Row],[Prest. (m2 /jaar) werkdagen]]/Ruimtestaat[[#This Row],[Norm (m2/uur) werkdagen]],0)</f>
        <v>0</v>
      </c>
      <c r="X347" s="243">
        <f>Ruimtestaat[[#This Row],[uren / jaar werkdagen]]*Tariefsopbouw!$D$38</f>
        <v>0</v>
      </c>
      <c r="Y347" s="33"/>
      <c r="Z347" s="33">
        <f>IF(Ruimtestaat[[#This Row],[Frequentie weekend]]&gt;0,VALUE(LEFT(Y347,1))*R347,0)</f>
        <v>0</v>
      </c>
      <c r="AA347" s="33">
        <f>IF($Z347&gt;0,VLOOKUP($J347,Ruimtegroepen[],3,FALSE)*VLOOKUP($L347,Vloersoorten[],3,FALSE)*VLOOKUP($Y347,Frequenties[],3,FALSE)*VLOOKUP(#REF!,Locaties[],3,FALSE),0)</f>
        <v>0</v>
      </c>
      <c r="AB347" s="33"/>
      <c r="AC347" s="33"/>
      <c r="AD347" s="33">
        <f>Ruimtestaat[[#This Row],[uren / jaar weekend]]*Tariefsopbouw!$D$40</f>
        <v>0</v>
      </c>
      <c r="AE347" s="86">
        <f>Ruimtestaat[[#This Row],[Prest. (m2 /jaar) weekend]]+Ruimtestaat[[#This Row],[Prest. (m2 /jaar) werkdagen]]</f>
        <v>2940</v>
      </c>
      <c r="AF347" s="86">
        <f>Ruimtestaat[[#This Row],[uren / jaar weekend]]+Ruimtestaat[[#This Row],[uren / jaar werkdagen]]</f>
        <v>0</v>
      </c>
      <c r="AG347" s="87">
        <f>Ruimtestaat[[#This Row],[kosten / jaar weekend]]+Ruimtestaat[[#This Row],[kosten / jaar werkdagen]]</f>
        <v>0</v>
      </c>
    </row>
    <row r="348" spans="1:33" ht="15" customHeight="1">
      <c r="A348" s="187">
        <v>4</v>
      </c>
      <c r="B348" s="21" t="str">
        <f>VLOOKUP(Ruimtestaat[[#This Row],[Code]],Locaties[#All],2,FALSE)</f>
        <v xml:space="preserve">Lyceumstraat </v>
      </c>
      <c r="C348" s="247" t="str">
        <f>VLOOKUP(Ruimtestaat[[#This Row],[Code]],Locaties[#All],4,FALSE)</f>
        <v>Lyceumstraat 36</v>
      </c>
      <c r="D348" s="247" t="str">
        <f>VLOOKUP(Ruimtestaat[[#This Row],[Code]],Locaties[#All],5,FALSE)</f>
        <v>7572 CR</v>
      </c>
      <c r="E348" s="187" t="str">
        <f>VLOOKUP(Ruimtestaat[[#This Row],[Code]],Locaties[#All],6,FALSE)</f>
        <v>Oldenzaal</v>
      </c>
      <c r="F348" s="248"/>
      <c r="G348" s="246" t="s">
        <v>679</v>
      </c>
      <c r="H348" s="246" t="s">
        <v>1014</v>
      </c>
      <c r="I348" s="248" t="s">
        <v>1015</v>
      </c>
      <c r="J348" s="231">
        <v>12</v>
      </c>
      <c r="K348" s="231" t="str">
        <f>VLOOKUP(Ruimtestaat[[#This Row],[Ruimte code]],Ruimtegroepen[#All],2,FALSE)</f>
        <v>Kantine/aula</v>
      </c>
      <c r="L348" s="247" t="s">
        <v>677</v>
      </c>
      <c r="M348" s="249" t="s">
        <v>1200</v>
      </c>
      <c r="N348" s="200">
        <v>308.5</v>
      </c>
      <c r="O348" s="190"/>
      <c r="P348" s="231" t="str">
        <f>VLOOKUP(Ruimtestaat[[#This Row],[Ruimte code]],Ruimtegroepen[#All],4,FALSE)</f>
        <v>V  (Verkeersruimte)</v>
      </c>
      <c r="Q348" s="201"/>
      <c r="R348" s="202">
        <v>42</v>
      </c>
      <c r="S348" s="202" t="s">
        <v>2</v>
      </c>
      <c r="T348" s="202">
        <f>IF(R348&gt;0,IF(RIGHT(Ruimtestaat[[#This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48" s="202">
        <f>IF(T348&gt;0,VLOOKUP($J348,Ruimtegroepen[],3,FALSE)*VLOOKUP($L348,Vloersoorten[],3,FALSE)*VLOOKUP($S348,Frequenties[],3,FALSE)*VLOOKUP($A348,Locaties[],3,FALSE),0)</f>
        <v>0</v>
      </c>
      <c r="V348" s="202">
        <f>Ruimtestaat[[#This Row],[Uitvoeringen werkdagen]]*Ruimtestaat[[#This Row],[Oppervlak (netto)]]</f>
        <v>64785</v>
      </c>
      <c r="W348" s="242">
        <f>IF(U348&gt;0,Ruimtestaat[[#This Row],[Prest. (m2 /jaar) werkdagen]]/Ruimtestaat[[#This Row],[Norm (m2/uur) werkdagen]],0)</f>
        <v>0</v>
      </c>
      <c r="X348" s="243">
        <f>Ruimtestaat[[#This Row],[uren / jaar werkdagen]]*Tariefsopbouw!$D$38</f>
        <v>0</v>
      </c>
      <c r="Y348" s="33"/>
      <c r="Z348" s="33">
        <f>IF(Ruimtestaat[[#This Row],[Frequentie weekend]]&gt;0,VALUE(LEFT(Y348,1))*R348,0)</f>
        <v>0</v>
      </c>
      <c r="AA348" s="33">
        <f>IF($Z348&gt;0,VLOOKUP($J348,Ruimtegroepen[],3,FALSE)*VLOOKUP($L348,Vloersoorten[],3,FALSE)*VLOOKUP($Y348,Frequenties[],3,FALSE)*VLOOKUP(#REF!,Locaties[],3,FALSE),0)</f>
        <v>0</v>
      </c>
      <c r="AB348" s="33"/>
      <c r="AC348" s="33"/>
      <c r="AD348" s="33">
        <f>Ruimtestaat[[#This Row],[uren / jaar weekend]]*Tariefsopbouw!$D$40</f>
        <v>0</v>
      </c>
      <c r="AE348" s="86">
        <f>Ruimtestaat[[#This Row],[Prest. (m2 /jaar) weekend]]+Ruimtestaat[[#This Row],[Prest. (m2 /jaar) werkdagen]]</f>
        <v>64785</v>
      </c>
      <c r="AF348" s="86">
        <f>Ruimtestaat[[#This Row],[uren / jaar weekend]]+Ruimtestaat[[#This Row],[uren / jaar werkdagen]]</f>
        <v>0</v>
      </c>
      <c r="AG348" s="87">
        <f>Ruimtestaat[[#This Row],[kosten / jaar weekend]]+Ruimtestaat[[#This Row],[kosten / jaar werkdagen]]</f>
        <v>0</v>
      </c>
    </row>
    <row r="349" spans="1:33" ht="15" customHeight="1">
      <c r="A349" s="187">
        <v>4</v>
      </c>
      <c r="B349" s="21" t="str">
        <f>VLOOKUP(Ruimtestaat[[#This Row],[Code]],Locaties[#All],2,FALSE)</f>
        <v xml:space="preserve">Lyceumstraat </v>
      </c>
      <c r="C349" s="247" t="str">
        <f>VLOOKUP(Ruimtestaat[[#This Row],[Code]],Locaties[#All],4,FALSE)</f>
        <v>Lyceumstraat 36</v>
      </c>
      <c r="D349" s="247" t="str">
        <f>VLOOKUP(Ruimtestaat[[#This Row],[Code]],Locaties[#All],5,FALSE)</f>
        <v>7572 CR</v>
      </c>
      <c r="E349" s="187" t="str">
        <f>VLOOKUP(Ruimtestaat[[#This Row],[Code]],Locaties[#All],6,FALSE)</f>
        <v>Oldenzaal</v>
      </c>
      <c r="F349" s="248"/>
      <c r="G349" s="246" t="s">
        <v>679</v>
      </c>
      <c r="H349" s="246" t="s">
        <v>1016</v>
      </c>
      <c r="I349" s="248" t="s">
        <v>1015</v>
      </c>
      <c r="J349" s="202">
        <v>12</v>
      </c>
      <c r="K349" s="202" t="str">
        <f>VLOOKUP(Ruimtestaat[[#This Row],[Ruimte code]],Ruimtegroepen[#All],2,FALSE)</f>
        <v>Kantine/aula</v>
      </c>
      <c r="L349" s="247" t="s">
        <v>677</v>
      </c>
      <c r="M349" s="249" t="s">
        <v>1200</v>
      </c>
      <c r="N349" s="200">
        <v>270</v>
      </c>
      <c r="O349" s="190"/>
      <c r="P349" s="231" t="str">
        <f>VLOOKUP(Ruimtestaat[[#This Row],[Ruimte code]],Ruimtegroepen[#All],4,FALSE)</f>
        <v>V  (Verkeersruimte)</v>
      </c>
      <c r="Q349" s="201"/>
      <c r="R349" s="202">
        <v>42</v>
      </c>
      <c r="S349" s="202" t="s">
        <v>2</v>
      </c>
      <c r="T349" s="202">
        <f>IF(R349&gt;0,IF(RIGHT(Ruimtestaat[[#This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49" s="202">
        <f>IF(T349&gt;0,VLOOKUP($J349,Ruimtegroepen[],3,FALSE)*VLOOKUP($L349,Vloersoorten[],3,FALSE)*VLOOKUP($S349,Frequenties[],3,FALSE)*VLOOKUP($A349,Locaties[],3,FALSE),0)</f>
        <v>0</v>
      </c>
      <c r="V349" s="202">
        <f>Ruimtestaat[[#This Row],[Uitvoeringen werkdagen]]*Ruimtestaat[[#This Row],[Oppervlak (netto)]]</f>
        <v>56700</v>
      </c>
      <c r="W349" s="242">
        <f>IF(U349&gt;0,Ruimtestaat[[#This Row],[Prest. (m2 /jaar) werkdagen]]/Ruimtestaat[[#This Row],[Norm (m2/uur) werkdagen]],0)</f>
        <v>0</v>
      </c>
      <c r="X349" s="243">
        <f>Ruimtestaat[[#This Row],[uren / jaar werkdagen]]*Tariefsopbouw!$D$38</f>
        <v>0</v>
      </c>
      <c r="Y349" s="33"/>
      <c r="Z349" s="33">
        <f>IF(Ruimtestaat[[#This Row],[Frequentie weekend]]&gt;0,VALUE(LEFT(Y349,1))*R349,0)</f>
        <v>0</v>
      </c>
      <c r="AA349" s="33">
        <f>IF($Z349&gt;0,VLOOKUP($J349,Ruimtegroepen[],3,FALSE)*VLOOKUP($L349,Vloersoorten[],3,FALSE)*VLOOKUP($Y349,Frequenties[],3,FALSE)*VLOOKUP(#REF!,Locaties[],3,FALSE),0)</f>
        <v>0</v>
      </c>
      <c r="AB349" s="33"/>
      <c r="AC349" s="33"/>
      <c r="AD349" s="33">
        <f>Ruimtestaat[[#This Row],[uren / jaar weekend]]*Tariefsopbouw!$D$40</f>
        <v>0</v>
      </c>
      <c r="AE349" s="86">
        <f>Ruimtestaat[[#This Row],[Prest. (m2 /jaar) weekend]]+Ruimtestaat[[#This Row],[Prest. (m2 /jaar) werkdagen]]</f>
        <v>56700</v>
      </c>
      <c r="AF349" s="86">
        <f>Ruimtestaat[[#This Row],[uren / jaar weekend]]+Ruimtestaat[[#This Row],[uren / jaar werkdagen]]</f>
        <v>0</v>
      </c>
      <c r="AG349" s="87">
        <f>Ruimtestaat[[#This Row],[kosten / jaar weekend]]+Ruimtestaat[[#This Row],[kosten / jaar werkdagen]]</f>
        <v>0</v>
      </c>
    </row>
    <row r="350" spans="1:33" ht="15" customHeight="1">
      <c r="A350" s="187">
        <v>4</v>
      </c>
      <c r="B350" s="21" t="str">
        <f>VLOOKUP(Ruimtestaat[[#This Row],[Code]],Locaties[#All],2,FALSE)</f>
        <v xml:space="preserve">Lyceumstraat </v>
      </c>
      <c r="C350" s="247" t="str">
        <f>VLOOKUP(Ruimtestaat[[#This Row],[Code]],Locaties[#All],4,FALSE)</f>
        <v>Lyceumstraat 36</v>
      </c>
      <c r="D350" s="247" t="str">
        <f>VLOOKUP(Ruimtestaat[[#This Row],[Code]],Locaties[#All],5,FALSE)</f>
        <v>7572 CR</v>
      </c>
      <c r="E350" s="187" t="str">
        <f>VLOOKUP(Ruimtestaat[[#This Row],[Code]],Locaties[#All],6,FALSE)</f>
        <v>Oldenzaal</v>
      </c>
      <c r="F350" s="248"/>
      <c r="G350" s="246" t="s">
        <v>679</v>
      </c>
      <c r="H350" s="246" t="s">
        <v>1017</v>
      </c>
      <c r="I350" s="248" t="s">
        <v>1018</v>
      </c>
      <c r="J350" s="187">
        <v>15</v>
      </c>
      <c r="K350" s="187" t="str">
        <f>VLOOKUP(Ruimtestaat[[#This Row],[Ruimte code]],Ruimtegroepen[#All],2,FALSE)</f>
        <v>Keuken/pantry/rookruimte</v>
      </c>
      <c r="L350" s="202" t="s">
        <v>108</v>
      </c>
      <c r="M350" s="249" t="s">
        <v>1201</v>
      </c>
      <c r="N350" s="200">
        <v>30</v>
      </c>
      <c r="O350" s="190"/>
      <c r="P350" s="231" t="str">
        <f>VLOOKUP(Ruimtestaat[[#This Row],[Ruimte code]],Ruimtegroepen[#All],4,FALSE)</f>
        <v>V  (Verkeersruimte)</v>
      </c>
      <c r="Q350" s="201"/>
      <c r="R350" s="202">
        <v>42</v>
      </c>
      <c r="S350" s="202" t="s">
        <v>2</v>
      </c>
      <c r="T350" s="202">
        <f>IF(R350&gt;0,IF(RIGHT(Ruimtestaat[[#This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50" s="202">
        <f>IF(T350&gt;0,VLOOKUP($J350,Ruimtegroepen[],3,FALSE)*VLOOKUP($L350,Vloersoorten[],3,FALSE)*VLOOKUP($S350,Frequenties[],3,FALSE)*VLOOKUP($A350,Locaties[],3,FALSE),0)</f>
        <v>0</v>
      </c>
      <c r="V350" s="202">
        <f>Ruimtestaat[[#This Row],[Uitvoeringen werkdagen]]*Ruimtestaat[[#This Row],[Oppervlak (netto)]]</f>
        <v>6300</v>
      </c>
      <c r="W350" s="242">
        <f>IF(U350&gt;0,Ruimtestaat[[#This Row],[Prest. (m2 /jaar) werkdagen]]/Ruimtestaat[[#This Row],[Norm (m2/uur) werkdagen]],0)</f>
        <v>0</v>
      </c>
      <c r="X350" s="243">
        <f>Ruimtestaat[[#This Row],[uren / jaar werkdagen]]*Tariefsopbouw!$D$38</f>
        <v>0</v>
      </c>
      <c r="Y350" s="33"/>
      <c r="Z350" s="33">
        <f>IF(Ruimtestaat[[#This Row],[Frequentie weekend]]&gt;0,VALUE(LEFT(Y350,1))*R350,0)</f>
        <v>0</v>
      </c>
      <c r="AA350" s="33">
        <f>IF($Z350&gt;0,VLOOKUP($J350,Ruimtegroepen[],3,FALSE)*VLOOKUP($L350,Vloersoorten[],3,FALSE)*VLOOKUP($Y350,Frequenties[],3,FALSE)*VLOOKUP(#REF!,Locaties[],3,FALSE),0)</f>
        <v>0</v>
      </c>
      <c r="AB350" s="33"/>
      <c r="AC350" s="33"/>
      <c r="AD350" s="33">
        <f>Ruimtestaat[[#This Row],[uren / jaar weekend]]*Tariefsopbouw!$D$40</f>
        <v>0</v>
      </c>
      <c r="AE350" s="86">
        <f>Ruimtestaat[[#This Row],[Prest. (m2 /jaar) weekend]]+Ruimtestaat[[#This Row],[Prest. (m2 /jaar) werkdagen]]</f>
        <v>6300</v>
      </c>
      <c r="AF350" s="86">
        <f>Ruimtestaat[[#This Row],[uren / jaar weekend]]+Ruimtestaat[[#This Row],[uren / jaar werkdagen]]</f>
        <v>0</v>
      </c>
      <c r="AG350" s="87">
        <f>Ruimtestaat[[#This Row],[kosten / jaar weekend]]+Ruimtestaat[[#This Row],[kosten / jaar werkdagen]]</f>
        <v>0</v>
      </c>
    </row>
    <row r="351" spans="1:33" ht="15" customHeight="1">
      <c r="A351" s="187">
        <v>4</v>
      </c>
      <c r="B351" s="21" t="str">
        <f>VLOOKUP(Ruimtestaat[[#This Row],[Code]],Locaties[#All],2,FALSE)</f>
        <v xml:space="preserve">Lyceumstraat </v>
      </c>
      <c r="C351" s="247" t="str">
        <f>VLOOKUP(Ruimtestaat[[#This Row],[Code]],Locaties[#All],4,FALSE)</f>
        <v>Lyceumstraat 36</v>
      </c>
      <c r="D351" s="247" t="str">
        <f>VLOOKUP(Ruimtestaat[[#This Row],[Code]],Locaties[#All],5,FALSE)</f>
        <v>7572 CR</v>
      </c>
      <c r="E351" s="187" t="str">
        <f>VLOOKUP(Ruimtestaat[[#This Row],[Code]],Locaties[#All],6,FALSE)</f>
        <v>Oldenzaal</v>
      </c>
      <c r="F351" s="248"/>
      <c r="G351" s="246" t="s">
        <v>679</v>
      </c>
      <c r="H351" s="246" t="s">
        <v>1019</v>
      </c>
      <c r="I351" s="248" t="s">
        <v>1020</v>
      </c>
      <c r="J351" s="247">
        <v>9</v>
      </c>
      <c r="K351" s="247" t="str">
        <f>VLOOKUP(Ruimtestaat[[#This Row],[Ruimte code]],Ruimtegroepen[#All],2,FALSE)</f>
        <v>Bibliotheek / OLC</v>
      </c>
      <c r="L351" s="247" t="s">
        <v>1204</v>
      </c>
      <c r="M351" s="249" t="s">
        <v>1205</v>
      </c>
      <c r="N351" s="200">
        <v>116</v>
      </c>
      <c r="O351" s="190"/>
      <c r="P351" s="231" t="str">
        <f>VLOOKUP(Ruimtestaat[[#This Row],[Ruimte code]],Ruimtegroepen[#All],4,FALSE)</f>
        <v>L  (Lesruimte)</v>
      </c>
      <c r="Q351" s="201"/>
      <c r="R351" s="202">
        <v>42</v>
      </c>
      <c r="S351" s="202" t="s">
        <v>2</v>
      </c>
      <c r="T351" s="202">
        <f>IF(R351&gt;0,IF(RIGHT(Ruimtestaat[[#This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51" s="202">
        <f>IF(T351&gt;0,VLOOKUP($J351,Ruimtegroepen[],3,FALSE)*VLOOKUP($L351,Vloersoorten[],3,FALSE)*VLOOKUP($S351,Frequenties[],3,FALSE)*VLOOKUP($A351,Locaties[],3,FALSE),0)</f>
        <v>0</v>
      </c>
      <c r="V351" s="202">
        <f>Ruimtestaat[[#This Row],[Uitvoeringen werkdagen]]*Ruimtestaat[[#This Row],[Oppervlak (netto)]]</f>
        <v>24360</v>
      </c>
      <c r="W351" s="242">
        <f>IF(U351&gt;0,Ruimtestaat[[#This Row],[Prest. (m2 /jaar) werkdagen]]/Ruimtestaat[[#This Row],[Norm (m2/uur) werkdagen]],0)</f>
        <v>0</v>
      </c>
      <c r="X351" s="243">
        <f>Ruimtestaat[[#This Row],[uren / jaar werkdagen]]*Tariefsopbouw!$D$38</f>
        <v>0</v>
      </c>
      <c r="Y351" s="33"/>
      <c r="Z351" s="33">
        <f>IF(Ruimtestaat[[#This Row],[Frequentie weekend]]&gt;0,VALUE(LEFT(Y351,1))*R351,0)</f>
        <v>0</v>
      </c>
      <c r="AA351" s="33">
        <f>IF($Z351&gt;0,VLOOKUP($J351,Ruimtegroepen[],3,FALSE)*VLOOKUP($L351,Vloersoorten[],3,FALSE)*VLOOKUP($Y351,Frequenties[],3,FALSE)*VLOOKUP(#REF!,Locaties[],3,FALSE),0)</f>
        <v>0</v>
      </c>
      <c r="AB351" s="33"/>
      <c r="AC351" s="33"/>
      <c r="AD351" s="33">
        <f>Ruimtestaat[[#This Row],[uren / jaar weekend]]*Tariefsopbouw!$D$40</f>
        <v>0</v>
      </c>
      <c r="AE351" s="86">
        <f>Ruimtestaat[[#This Row],[Prest. (m2 /jaar) weekend]]+Ruimtestaat[[#This Row],[Prest. (m2 /jaar) werkdagen]]</f>
        <v>24360</v>
      </c>
      <c r="AF351" s="86">
        <f>Ruimtestaat[[#This Row],[uren / jaar weekend]]+Ruimtestaat[[#This Row],[uren / jaar werkdagen]]</f>
        <v>0</v>
      </c>
      <c r="AG351" s="87">
        <f>Ruimtestaat[[#This Row],[kosten / jaar weekend]]+Ruimtestaat[[#This Row],[kosten / jaar werkdagen]]</f>
        <v>0</v>
      </c>
    </row>
    <row r="352" spans="1:33" ht="15" customHeight="1">
      <c r="A352" s="187">
        <v>4</v>
      </c>
      <c r="B352" s="21" t="str">
        <f>VLOOKUP(Ruimtestaat[[#This Row],[Code]],Locaties[#All],2,FALSE)</f>
        <v xml:space="preserve">Lyceumstraat </v>
      </c>
      <c r="C352" s="247" t="str">
        <f>VLOOKUP(Ruimtestaat[[#This Row],[Code]],Locaties[#All],4,FALSE)</f>
        <v>Lyceumstraat 36</v>
      </c>
      <c r="D352" s="247" t="str">
        <f>VLOOKUP(Ruimtestaat[[#This Row],[Code]],Locaties[#All],5,FALSE)</f>
        <v>7572 CR</v>
      </c>
      <c r="E352" s="187" t="str">
        <f>VLOOKUP(Ruimtestaat[[#This Row],[Code]],Locaties[#All],6,FALSE)</f>
        <v>Oldenzaal</v>
      </c>
      <c r="F352" s="248"/>
      <c r="G352" s="246" t="s">
        <v>679</v>
      </c>
      <c r="H352" s="246" t="s">
        <v>1021</v>
      </c>
      <c r="I352" s="248" t="s">
        <v>414</v>
      </c>
      <c r="J352" s="187">
        <v>6</v>
      </c>
      <c r="K352" s="187" t="str">
        <f>VLOOKUP(Ruimtestaat[[#This Row],[Ruimte code]],Ruimtegroepen[#All],2,FALSE)</f>
        <v>Gangen/hallen</v>
      </c>
      <c r="L352" s="202" t="s">
        <v>108</v>
      </c>
      <c r="M352" s="249" t="s">
        <v>1201</v>
      </c>
      <c r="N352" s="200">
        <v>35</v>
      </c>
      <c r="O352" s="190"/>
      <c r="P352" s="231" t="str">
        <f>VLOOKUP(Ruimtestaat[[#This Row],[Ruimte code]],Ruimtegroepen[#All],4,FALSE)</f>
        <v>V  (Verkeersruimte)</v>
      </c>
      <c r="Q352" s="201"/>
      <c r="R352" s="202">
        <v>42</v>
      </c>
      <c r="S352" s="202" t="s">
        <v>15</v>
      </c>
      <c r="T352" s="202">
        <f>IF(R352&gt;0,IF(RIGHT(Ruimtestaat[[#This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352" s="202">
        <f>IF(T352&gt;0,VLOOKUP($J352,Ruimtegroepen[],3,FALSE)*VLOOKUP($L352,Vloersoorten[],3,FALSE)*VLOOKUP($S352,Frequenties[],3,FALSE)*VLOOKUP($A352,Locaties[],3,FALSE),0)</f>
        <v>0</v>
      </c>
      <c r="V352" s="202">
        <f>Ruimtestaat[[#This Row],[Uitvoeringen werkdagen]]*Ruimtestaat[[#This Row],[Oppervlak (netto)]]</f>
        <v>1470</v>
      </c>
      <c r="W352" s="242">
        <f>IF(U352&gt;0,Ruimtestaat[[#This Row],[Prest. (m2 /jaar) werkdagen]]/Ruimtestaat[[#This Row],[Norm (m2/uur) werkdagen]],0)</f>
        <v>0</v>
      </c>
      <c r="X352" s="243">
        <f>Ruimtestaat[[#This Row],[uren / jaar werkdagen]]*Tariefsopbouw!$D$38</f>
        <v>0</v>
      </c>
      <c r="Y352" s="33"/>
      <c r="Z352" s="33">
        <f>IF(Ruimtestaat[[#This Row],[Frequentie weekend]]&gt;0,VALUE(LEFT(Y352,1))*R352,0)</f>
        <v>0</v>
      </c>
      <c r="AA352" s="33">
        <f>IF($Z352&gt;0,VLOOKUP($J352,Ruimtegroepen[],3,FALSE)*VLOOKUP($L352,Vloersoorten[],3,FALSE)*VLOOKUP($Y352,Frequenties[],3,FALSE)*VLOOKUP(#REF!,Locaties[],3,FALSE),0)</f>
        <v>0</v>
      </c>
      <c r="AB352" s="33"/>
      <c r="AC352" s="33"/>
      <c r="AD352" s="33">
        <f>Ruimtestaat[[#This Row],[uren / jaar weekend]]*Tariefsopbouw!$D$40</f>
        <v>0</v>
      </c>
      <c r="AE352" s="86">
        <f>Ruimtestaat[[#This Row],[Prest. (m2 /jaar) weekend]]+Ruimtestaat[[#This Row],[Prest. (m2 /jaar) werkdagen]]</f>
        <v>1470</v>
      </c>
      <c r="AF352" s="86">
        <f>Ruimtestaat[[#This Row],[uren / jaar weekend]]+Ruimtestaat[[#This Row],[uren / jaar werkdagen]]</f>
        <v>0</v>
      </c>
      <c r="AG352" s="87">
        <f>Ruimtestaat[[#This Row],[kosten / jaar weekend]]+Ruimtestaat[[#This Row],[kosten / jaar werkdagen]]</f>
        <v>0</v>
      </c>
    </row>
    <row r="353" spans="1:33" ht="15" customHeight="1">
      <c r="A353" s="187">
        <v>4</v>
      </c>
      <c r="B353" s="21" t="str">
        <f>VLOOKUP(Ruimtestaat[[#This Row],[Code]],Locaties[#All],2,FALSE)</f>
        <v xml:space="preserve">Lyceumstraat </v>
      </c>
      <c r="C353" s="247" t="str">
        <f>VLOOKUP(Ruimtestaat[[#This Row],[Code]],Locaties[#All],4,FALSE)</f>
        <v>Lyceumstraat 36</v>
      </c>
      <c r="D353" s="247" t="str">
        <f>VLOOKUP(Ruimtestaat[[#This Row],[Code]],Locaties[#All],5,FALSE)</f>
        <v>7572 CR</v>
      </c>
      <c r="E353" s="187" t="str">
        <f>VLOOKUP(Ruimtestaat[[#This Row],[Code]],Locaties[#All],6,FALSE)</f>
        <v>Oldenzaal</v>
      </c>
      <c r="F353" s="248"/>
      <c r="G353" s="246" t="s">
        <v>679</v>
      </c>
      <c r="H353" s="246" t="s">
        <v>1022</v>
      </c>
      <c r="I353" s="248" t="s">
        <v>414</v>
      </c>
      <c r="J353" s="187">
        <v>6</v>
      </c>
      <c r="K353" s="187" t="str">
        <f>VLOOKUP(Ruimtestaat[[#This Row],[Ruimte code]],Ruimtegroepen[#All],2,FALSE)</f>
        <v>Gangen/hallen</v>
      </c>
      <c r="L353" s="247" t="s">
        <v>677</v>
      </c>
      <c r="M353" s="249" t="s">
        <v>1200</v>
      </c>
      <c r="N353" s="200">
        <v>40</v>
      </c>
      <c r="O353" s="190"/>
      <c r="P353" s="231" t="str">
        <f>VLOOKUP(Ruimtestaat[[#This Row],[Ruimte code]],Ruimtegroepen[#All],4,FALSE)</f>
        <v>V  (Verkeersruimte)</v>
      </c>
      <c r="Q353" s="201"/>
      <c r="R353" s="202">
        <v>42</v>
      </c>
      <c r="S353" s="202" t="s">
        <v>2</v>
      </c>
      <c r="T353" s="202">
        <f>IF(R353&gt;0,IF(RIGHT(Ruimtestaat[[#This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53" s="202">
        <f>IF(T353&gt;0,VLOOKUP($J353,Ruimtegroepen[],3,FALSE)*VLOOKUP($L353,Vloersoorten[],3,FALSE)*VLOOKUP($S353,Frequenties[],3,FALSE)*VLOOKUP($A353,Locaties[],3,FALSE),0)</f>
        <v>0</v>
      </c>
      <c r="V353" s="202">
        <f>Ruimtestaat[[#This Row],[Uitvoeringen werkdagen]]*Ruimtestaat[[#This Row],[Oppervlak (netto)]]</f>
        <v>8400</v>
      </c>
      <c r="W353" s="242">
        <f>IF(U353&gt;0,Ruimtestaat[[#This Row],[Prest. (m2 /jaar) werkdagen]]/Ruimtestaat[[#This Row],[Norm (m2/uur) werkdagen]],0)</f>
        <v>0</v>
      </c>
      <c r="X353" s="243">
        <f>Ruimtestaat[[#This Row],[uren / jaar werkdagen]]*Tariefsopbouw!$D$38</f>
        <v>0</v>
      </c>
      <c r="Y353" s="33"/>
      <c r="Z353" s="33">
        <f>IF(Ruimtestaat[[#This Row],[Frequentie weekend]]&gt;0,VALUE(LEFT(Y353,1))*R353,0)</f>
        <v>0</v>
      </c>
      <c r="AA353" s="33">
        <f>IF($Z353&gt;0,VLOOKUP($J353,Ruimtegroepen[],3,FALSE)*VLOOKUP($L353,Vloersoorten[],3,FALSE)*VLOOKUP($Y353,Frequenties[],3,FALSE)*VLOOKUP(#REF!,Locaties[],3,FALSE),0)</f>
        <v>0</v>
      </c>
      <c r="AB353" s="33"/>
      <c r="AC353" s="33"/>
      <c r="AD353" s="33">
        <f>Ruimtestaat[[#This Row],[uren / jaar weekend]]*Tariefsopbouw!$D$40</f>
        <v>0</v>
      </c>
      <c r="AE353" s="86">
        <f>Ruimtestaat[[#This Row],[Prest. (m2 /jaar) weekend]]+Ruimtestaat[[#This Row],[Prest. (m2 /jaar) werkdagen]]</f>
        <v>8400</v>
      </c>
      <c r="AF353" s="86">
        <f>Ruimtestaat[[#This Row],[uren / jaar weekend]]+Ruimtestaat[[#This Row],[uren / jaar werkdagen]]</f>
        <v>0</v>
      </c>
      <c r="AG353" s="87">
        <f>Ruimtestaat[[#This Row],[kosten / jaar weekend]]+Ruimtestaat[[#This Row],[kosten / jaar werkdagen]]</f>
        <v>0</v>
      </c>
    </row>
    <row r="354" spans="1:33" ht="15" customHeight="1">
      <c r="A354" s="187">
        <v>4</v>
      </c>
      <c r="B354" s="21" t="str">
        <f>VLOOKUP(Ruimtestaat[[#This Row],[Code]],Locaties[#All],2,FALSE)</f>
        <v xml:space="preserve">Lyceumstraat </v>
      </c>
      <c r="C354" s="247" t="str">
        <f>VLOOKUP(Ruimtestaat[[#This Row],[Code]],Locaties[#All],4,FALSE)</f>
        <v>Lyceumstraat 36</v>
      </c>
      <c r="D354" s="247" t="str">
        <f>VLOOKUP(Ruimtestaat[[#This Row],[Code]],Locaties[#All],5,FALSE)</f>
        <v>7572 CR</v>
      </c>
      <c r="E354" s="187" t="str">
        <f>VLOOKUP(Ruimtestaat[[#This Row],[Code]],Locaties[#All],6,FALSE)</f>
        <v>Oldenzaal</v>
      </c>
      <c r="F354" s="248"/>
      <c r="G354" s="246">
        <v>1</v>
      </c>
      <c r="H354" s="246" t="s">
        <v>1023</v>
      </c>
      <c r="I354" s="248" t="s">
        <v>465</v>
      </c>
      <c r="J354" s="187">
        <v>16</v>
      </c>
      <c r="K354" s="187" t="str">
        <f>VLOOKUP(Ruimtestaat[[#This Row],[Ruimte code]],Ruimtegroepen[#All],2,FALSE)</f>
        <v>Leslokalen/computerlokaal</v>
      </c>
      <c r="L354" s="247" t="s">
        <v>677</v>
      </c>
      <c r="M354" s="249" t="s">
        <v>1200</v>
      </c>
      <c r="N354" s="200">
        <v>48</v>
      </c>
      <c r="O354" s="190"/>
      <c r="P354" s="231" t="str">
        <f>VLOOKUP(Ruimtestaat[[#This Row],[Ruimte code]],Ruimtegroepen[#All],4,FALSE)</f>
        <v>L  (Lesruimte)</v>
      </c>
      <c r="Q354" s="201"/>
      <c r="R354" s="202">
        <v>42</v>
      </c>
      <c r="S354" s="202" t="s">
        <v>2</v>
      </c>
      <c r="T354" s="202">
        <f>IF(R354&gt;0,IF(RIGHT(Ruimtestaat[[#This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54" s="202">
        <f>IF(T354&gt;0,VLOOKUP($J354,Ruimtegroepen[],3,FALSE)*VLOOKUP($L354,Vloersoorten[],3,FALSE)*VLOOKUP($S354,Frequenties[],3,FALSE)*VLOOKUP($A354,Locaties[],3,FALSE),0)</f>
        <v>0</v>
      </c>
      <c r="V354" s="202">
        <f>Ruimtestaat[[#This Row],[Uitvoeringen werkdagen]]*Ruimtestaat[[#This Row],[Oppervlak (netto)]]</f>
        <v>10080</v>
      </c>
      <c r="W354" s="242">
        <f>IF(U354&gt;0,Ruimtestaat[[#This Row],[Prest. (m2 /jaar) werkdagen]]/Ruimtestaat[[#This Row],[Norm (m2/uur) werkdagen]],0)</f>
        <v>0</v>
      </c>
      <c r="X354" s="243">
        <f>Ruimtestaat[[#This Row],[uren / jaar werkdagen]]*Tariefsopbouw!$D$38</f>
        <v>0</v>
      </c>
      <c r="Y354" s="33"/>
      <c r="Z354" s="33">
        <f>IF(Ruimtestaat[[#This Row],[Frequentie weekend]]&gt;0,VALUE(LEFT(Y354,1))*R354,0)</f>
        <v>0</v>
      </c>
      <c r="AA354" s="33">
        <f>IF($Z354&gt;0,VLOOKUP($J354,Ruimtegroepen[],3,FALSE)*VLOOKUP($L354,Vloersoorten[],3,FALSE)*VLOOKUP($Y354,Frequenties[],3,FALSE)*VLOOKUP(#REF!,Locaties[],3,FALSE),0)</f>
        <v>0</v>
      </c>
      <c r="AB354" s="33"/>
      <c r="AC354" s="33"/>
      <c r="AD354" s="33">
        <f>Ruimtestaat[[#This Row],[uren / jaar weekend]]*Tariefsopbouw!$D$40</f>
        <v>0</v>
      </c>
      <c r="AE354" s="86">
        <f>Ruimtestaat[[#This Row],[Prest. (m2 /jaar) weekend]]+Ruimtestaat[[#This Row],[Prest. (m2 /jaar) werkdagen]]</f>
        <v>10080</v>
      </c>
      <c r="AF354" s="86">
        <f>Ruimtestaat[[#This Row],[uren / jaar weekend]]+Ruimtestaat[[#This Row],[uren / jaar werkdagen]]</f>
        <v>0</v>
      </c>
      <c r="AG354" s="87">
        <f>Ruimtestaat[[#This Row],[kosten / jaar weekend]]+Ruimtestaat[[#This Row],[kosten / jaar werkdagen]]</f>
        <v>0</v>
      </c>
    </row>
    <row r="355" spans="1:33" ht="15" customHeight="1">
      <c r="A355" s="187">
        <v>4</v>
      </c>
      <c r="B355" s="21" t="str">
        <f>VLOOKUP(Ruimtestaat[[#This Row],[Code]],Locaties[#All],2,FALSE)</f>
        <v xml:space="preserve">Lyceumstraat </v>
      </c>
      <c r="C355" s="247" t="str">
        <f>VLOOKUP(Ruimtestaat[[#This Row],[Code]],Locaties[#All],4,FALSE)</f>
        <v>Lyceumstraat 36</v>
      </c>
      <c r="D355" s="247" t="str">
        <f>VLOOKUP(Ruimtestaat[[#This Row],[Code]],Locaties[#All],5,FALSE)</f>
        <v>7572 CR</v>
      </c>
      <c r="E355" s="187" t="str">
        <f>VLOOKUP(Ruimtestaat[[#This Row],[Code]],Locaties[#All],6,FALSE)</f>
        <v>Oldenzaal</v>
      </c>
      <c r="F355" s="248"/>
      <c r="G355" s="246">
        <v>1</v>
      </c>
      <c r="H355" s="246" t="s">
        <v>1024</v>
      </c>
      <c r="I355" s="248" t="s">
        <v>465</v>
      </c>
      <c r="J355" s="187">
        <v>16</v>
      </c>
      <c r="K355" s="187" t="str">
        <f>VLOOKUP(Ruimtestaat[[#This Row],[Ruimte code]],Ruimtegroepen[#All],2,FALSE)</f>
        <v>Leslokalen/computerlokaal</v>
      </c>
      <c r="L355" s="247" t="s">
        <v>677</v>
      </c>
      <c r="M355" s="249" t="s">
        <v>1200</v>
      </c>
      <c r="N355" s="200">
        <v>48</v>
      </c>
      <c r="O355" s="190"/>
      <c r="P355" s="231" t="str">
        <f>VLOOKUP(Ruimtestaat[[#This Row],[Ruimte code]],Ruimtegroepen[#All],4,FALSE)</f>
        <v>L  (Lesruimte)</v>
      </c>
      <c r="Q355" s="201"/>
      <c r="R355" s="202">
        <v>42</v>
      </c>
      <c r="S355" s="202" t="s">
        <v>2</v>
      </c>
      <c r="T355" s="202">
        <f>IF(R355&gt;0,IF(RIGHT(Ruimtestaat[[#This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55" s="202">
        <f>IF(T355&gt;0,VLOOKUP($J355,Ruimtegroepen[],3,FALSE)*VLOOKUP($L355,Vloersoorten[],3,FALSE)*VLOOKUP($S355,Frequenties[],3,FALSE)*VLOOKUP($A355,Locaties[],3,FALSE),0)</f>
        <v>0</v>
      </c>
      <c r="V355" s="202">
        <f>Ruimtestaat[[#This Row],[Uitvoeringen werkdagen]]*Ruimtestaat[[#This Row],[Oppervlak (netto)]]</f>
        <v>10080</v>
      </c>
      <c r="W355" s="242">
        <f>IF(U355&gt;0,Ruimtestaat[[#This Row],[Prest. (m2 /jaar) werkdagen]]/Ruimtestaat[[#This Row],[Norm (m2/uur) werkdagen]],0)</f>
        <v>0</v>
      </c>
      <c r="X355" s="243">
        <f>Ruimtestaat[[#This Row],[uren / jaar werkdagen]]*Tariefsopbouw!$D$38</f>
        <v>0</v>
      </c>
      <c r="Y355" s="33"/>
      <c r="Z355" s="33">
        <f>IF(Ruimtestaat[[#This Row],[Frequentie weekend]]&gt;0,VALUE(LEFT(Y355,1))*R355,0)</f>
        <v>0</v>
      </c>
      <c r="AA355" s="33">
        <f>IF($Z355&gt;0,VLOOKUP($J355,Ruimtegroepen[],3,FALSE)*VLOOKUP($L355,Vloersoorten[],3,FALSE)*VLOOKUP($Y355,Frequenties[],3,FALSE)*VLOOKUP(#REF!,Locaties[],3,FALSE),0)</f>
        <v>0</v>
      </c>
      <c r="AB355" s="33"/>
      <c r="AC355" s="33"/>
      <c r="AD355" s="33">
        <f>Ruimtestaat[[#This Row],[uren / jaar weekend]]*Tariefsopbouw!$D$40</f>
        <v>0</v>
      </c>
      <c r="AE355" s="86">
        <f>Ruimtestaat[[#This Row],[Prest. (m2 /jaar) weekend]]+Ruimtestaat[[#This Row],[Prest. (m2 /jaar) werkdagen]]</f>
        <v>10080</v>
      </c>
      <c r="AF355" s="86">
        <f>Ruimtestaat[[#This Row],[uren / jaar weekend]]+Ruimtestaat[[#This Row],[uren / jaar werkdagen]]</f>
        <v>0</v>
      </c>
      <c r="AG355" s="87">
        <f>Ruimtestaat[[#This Row],[kosten / jaar weekend]]+Ruimtestaat[[#This Row],[kosten / jaar werkdagen]]</f>
        <v>0</v>
      </c>
    </row>
    <row r="356" spans="1:33" ht="15" customHeight="1">
      <c r="A356" s="187">
        <v>4</v>
      </c>
      <c r="B356" s="21" t="str">
        <f>VLOOKUP(Ruimtestaat[[#This Row],[Code]],Locaties[#All],2,FALSE)</f>
        <v xml:space="preserve">Lyceumstraat </v>
      </c>
      <c r="C356" s="247" t="str">
        <f>VLOOKUP(Ruimtestaat[[#This Row],[Code]],Locaties[#All],4,FALSE)</f>
        <v>Lyceumstraat 36</v>
      </c>
      <c r="D356" s="247" t="str">
        <f>VLOOKUP(Ruimtestaat[[#This Row],[Code]],Locaties[#All],5,FALSE)</f>
        <v>7572 CR</v>
      </c>
      <c r="E356" s="187" t="str">
        <f>VLOOKUP(Ruimtestaat[[#This Row],[Code]],Locaties[#All],6,FALSE)</f>
        <v>Oldenzaal</v>
      </c>
      <c r="F356" s="248"/>
      <c r="G356" s="246">
        <v>1</v>
      </c>
      <c r="H356" s="246" t="s">
        <v>1025</v>
      </c>
      <c r="I356" s="248" t="s">
        <v>465</v>
      </c>
      <c r="J356" s="187">
        <v>16</v>
      </c>
      <c r="K356" s="187" t="str">
        <f>VLOOKUP(Ruimtestaat[[#This Row],[Ruimte code]],Ruimtegroepen[#All],2,FALSE)</f>
        <v>Leslokalen/computerlokaal</v>
      </c>
      <c r="L356" s="247" t="s">
        <v>677</v>
      </c>
      <c r="M356" s="249" t="s">
        <v>1200</v>
      </c>
      <c r="N356" s="200">
        <v>48</v>
      </c>
      <c r="O356" s="190"/>
      <c r="P356" s="231" t="str">
        <f>VLOOKUP(Ruimtestaat[[#This Row],[Ruimte code]],Ruimtegroepen[#All],4,FALSE)</f>
        <v>L  (Lesruimte)</v>
      </c>
      <c r="Q356" s="201"/>
      <c r="R356" s="202">
        <v>42</v>
      </c>
      <c r="S356" s="202" t="s">
        <v>2</v>
      </c>
      <c r="T356" s="202">
        <f>IF(R356&gt;0,IF(RIGHT(Ruimtestaat[[#This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56" s="202">
        <f>IF(T356&gt;0,VLOOKUP($J356,Ruimtegroepen[],3,FALSE)*VLOOKUP($L356,Vloersoorten[],3,FALSE)*VLOOKUP($S356,Frequenties[],3,FALSE)*VLOOKUP($A356,Locaties[],3,FALSE),0)</f>
        <v>0</v>
      </c>
      <c r="V356" s="202">
        <f>Ruimtestaat[[#This Row],[Uitvoeringen werkdagen]]*Ruimtestaat[[#This Row],[Oppervlak (netto)]]</f>
        <v>10080</v>
      </c>
      <c r="W356" s="242">
        <f>IF(U356&gt;0,Ruimtestaat[[#This Row],[Prest. (m2 /jaar) werkdagen]]/Ruimtestaat[[#This Row],[Norm (m2/uur) werkdagen]],0)</f>
        <v>0</v>
      </c>
      <c r="X356" s="243">
        <f>Ruimtestaat[[#This Row],[uren / jaar werkdagen]]*Tariefsopbouw!$D$38</f>
        <v>0</v>
      </c>
      <c r="Y356" s="33"/>
      <c r="Z356" s="33">
        <f>IF(Ruimtestaat[[#This Row],[Frequentie weekend]]&gt;0,VALUE(LEFT(Y356,1))*R356,0)</f>
        <v>0</v>
      </c>
      <c r="AA356" s="33">
        <f>IF($Z356&gt;0,VLOOKUP($J356,Ruimtegroepen[],3,FALSE)*VLOOKUP($L356,Vloersoorten[],3,FALSE)*VLOOKUP($Y356,Frequenties[],3,FALSE)*VLOOKUP(#REF!,Locaties[],3,FALSE),0)</f>
        <v>0</v>
      </c>
      <c r="AB356" s="33"/>
      <c r="AC356" s="33"/>
      <c r="AD356" s="33">
        <f>Ruimtestaat[[#This Row],[uren / jaar weekend]]*Tariefsopbouw!$D$40</f>
        <v>0</v>
      </c>
      <c r="AE356" s="86">
        <f>Ruimtestaat[[#This Row],[Prest. (m2 /jaar) weekend]]+Ruimtestaat[[#This Row],[Prest. (m2 /jaar) werkdagen]]</f>
        <v>10080</v>
      </c>
      <c r="AF356" s="86">
        <f>Ruimtestaat[[#This Row],[uren / jaar weekend]]+Ruimtestaat[[#This Row],[uren / jaar werkdagen]]</f>
        <v>0</v>
      </c>
      <c r="AG356" s="87">
        <f>Ruimtestaat[[#This Row],[kosten / jaar weekend]]+Ruimtestaat[[#This Row],[kosten / jaar werkdagen]]</f>
        <v>0</v>
      </c>
    </row>
    <row r="357" spans="1:33" ht="15" customHeight="1">
      <c r="A357" s="187">
        <v>4</v>
      </c>
      <c r="B357" s="21" t="str">
        <f>VLOOKUP(Ruimtestaat[[#This Row],[Code]],Locaties[#All],2,FALSE)</f>
        <v xml:space="preserve">Lyceumstraat </v>
      </c>
      <c r="C357" s="247" t="str">
        <f>VLOOKUP(Ruimtestaat[[#This Row],[Code]],Locaties[#All],4,FALSE)</f>
        <v>Lyceumstraat 36</v>
      </c>
      <c r="D357" s="247" t="str">
        <f>VLOOKUP(Ruimtestaat[[#This Row],[Code]],Locaties[#All],5,FALSE)</f>
        <v>7572 CR</v>
      </c>
      <c r="E357" s="187" t="str">
        <f>VLOOKUP(Ruimtestaat[[#This Row],[Code]],Locaties[#All],6,FALSE)</f>
        <v>Oldenzaal</v>
      </c>
      <c r="F357" s="248"/>
      <c r="G357" s="246">
        <v>1</v>
      </c>
      <c r="H357" s="246" t="s">
        <v>1026</v>
      </c>
      <c r="I357" s="248" t="s">
        <v>465</v>
      </c>
      <c r="J357" s="187">
        <v>16</v>
      </c>
      <c r="K357" s="187" t="str">
        <f>VLOOKUP(Ruimtestaat[[#This Row],[Ruimte code]],Ruimtegroepen[#All],2,FALSE)</f>
        <v>Leslokalen/computerlokaal</v>
      </c>
      <c r="L357" s="247" t="s">
        <v>677</v>
      </c>
      <c r="M357" s="249" t="s">
        <v>1200</v>
      </c>
      <c r="N357" s="200">
        <v>48</v>
      </c>
      <c r="O357" s="190"/>
      <c r="P357" s="231" t="str">
        <f>VLOOKUP(Ruimtestaat[[#This Row],[Ruimte code]],Ruimtegroepen[#All],4,FALSE)</f>
        <v>L  (Lesruimte)</v>
      </c>
      <c r="Q357" s="201"/>
      <c r="R357" s="202">
        <v>42</v>
      </c>
      <c r="S357" s="202" t="s">
        <v>2</v>
      </c>
      <c r="T357" s="202">
        <f>IF(R357&gt;0,IF(RIGHT(Ruimtestaat[[#This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57" s="202">
        <f>IF(T357&gt;0,VLOOKUP($J357,Ruimtegroepen[],3,FALSE)*VLOOKUP($L357,Vloersoorten[],3,FALSE)*VLOOKUP($S357,Frequenties[],3,FALSE)*VLOOKUP($A357,Locaties[],3,FALSE),0)</f>
        <v>0</v>
      </c>
      <c r="V357" s="202">
        <f>Ruimtestaat[[#This Row],[Uitvoeringen werkdagen]]*Ruimtestaat[[#This Row],[Oppervlak (netto)]]</f>
        <v>10080</v>
      </c>
      <c r="W357" s="242">
        <f>IF(U357&gt;0,Ruimtestaat[[#This Row],[Prest. (m2 /jaar) werkdagen]]/Ruimtestaat[[#This Row],[Norm (m2/uur) werkdagen]],0)</f>
        <v>0</v>
      </c>
      <c r="X357" s="243">
        <f>Ruimtestaat[[#This Row],[uren / jaar werkdagen]]*Tariefsopbouw!$D$38</f>
        <v>0</v>
      </c>
      <c r="Y357" s="33"/>
      <c r="Z357" s="33">
        <f>IF(Ruimtestaat[[#This Row],[Frequentie weekend]]&gt;0,VALUE(LEFT(Y357,1))*R357,0)</f>
        <v>0</v>
      </c>
      <c r="AA357" s="33">
        <f>IF($Z357&gt;0,VLOOKUP($J357,Ruimtegroepen[],3,FALSE)*VLOOKUP($L357,Vloersoorten[],3,FALSE)*VLOOKUP($Y357,Frequenties[],3,FALSE)*VLOOKUP(#REF!,Locaties[],3,FALSE),0)</f>
        <v>0</v>
      </c>
      <c r="AB357" s="33"/>
      <c r="AC357" s="33"/>
      <c r="AD357" s="33">
        <f>Ruimtestaat[[#This Row],[uren / jaar weekend]]*Tariefsopbouw!$D$40</f>
        <v>0</v>
      </c>
      <c r="AE357" s="86">
        <f>Ruimtestaat[[#This Row],[Prest. (m2 /jaar) weekend]]+Ruimtestaat[[#This Row],[Prest. (m2 /jaar) werkdagen]]</f>
        <v>10080</v>
      </c>
      <c r="AF357" s="86">
        <f>Ruimtestaat[[#This Row],[uren / jaar weekend]]+Ruimtestaat[[#This Row],[uren / jaar werkdagen]]</f>
        <v>0</v>
      </c>
      <c r="AG357" s="87">
        <f>Ruimtestaat[[#This Row],[kosten / jaar weekend]]+Ruimtestaat[[#This Row],[kosten / jaar werkdagen]]</f>
        <v>0</v>
      </c>
    </row>
    <row r="358" spans="1:33" ht="15" customHeight="1">
      <c r="A358" s="187">
        <v>4</v>
      </c>
      <c r="B358" s="21" t="str">
        <f>VLOOKUP(Ruimtestaat[[#This Row],[Code]],Locaties[#All],2,FALSE)</f>
        <v xml:space="preserve">Lyceumstraat </v>
      </c>
      <c r="C358" s="247" t="str">
        <f>VLOOKUP(Ruimtestaat[[#This Row],[Code]],Locaties[#All],4,FALSE)</f>
        <v>Lyceumstraat 36</v>
      </c>
      <c r="D358" s="247" t="str">
        <f>VLOOKUP(Ruimtestaat[[#This Row],[Code]],Locaties[#All],5,FALSE)</f>
        <v>7572 CR</v>
      </c>
      <c r="E358" s="187" t="str">
        <f>VLOOKUP(Ruimtestaat[[#This Row],[Code]],Locaties[#All],6,FALSE)</f>
        <v>Oldenzaal</v>
      </c>
      <c r="F358" s="248"/>
      <c r="G358" s="246">
        <v>1</v>
      </c>
      <c r="H358" s="246" t="s">
        <v>1027</v>
      </c>
      <c r="I358" s="248" t="s">
        <v>596</v>
      </c>
      <c r="J358" s="187">
        <v>10</v>
      </c>
      <c r="K358" s="187" t="str">
        <f>VLOOKUP(Ruimtestaat[[#This Row],[Ruimte code]],Ruimtegroepen[#All],2,FALSE)</f>
        <v>Trappenhuizen/lift</v>
      </c>
      <c r="L358" s="202" t="s">
        <v>108</v>
      </c>
      <c r="M358" s="249" t="s">
        <v>1201</v>
      </c>
      <c r="N358" s="200">
        <v>15</v>
      </c>
      <c r="O358" s="190"/>
      <c r="P358" s="231" t="str">
        <f>VLOOKUP(Ruimtestaat[[#This Row],[Ruimte code]],Ruimtegroepen[#All],4,FALSE)</f>
        <v>V  (Verkeersruimte)</v>
      </c>
      <c r="Q358" s="201"/>
      <c r="R358" s="202">
        <v>42</v>
      </c>
      <c r="S358" s="202" t="s">
        <v>2</v>
      </c>
      <c r="T358" s="202">
        <f>IF(R358&gt;0,IF(RIGHT(Ruimtestaat[[#This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58" s="202">
        <f>IF(T358&gt;0,VLOOKUP($J358,Ruimtegroepen[],3,FALSE)*VLOOKUP($L358,Vloersoorten[],3,FALSE)*VLOOKUP($S358,Frequenties[],3,FALSE)*VLOOKUP($A358,Locaties[],3,FALSE),0)</f>
        <v>0</v>
      </c>
      <c r="V358" s="202">
        <f>Ruimtestaat[[#This Row],[Uitvoeringen werkdagen]]*Ruimtestaat[[#This Row],[Oppervlak (netto)]]</f>
        <v>3150</v>
      </c>
      <c r="W358" s="242">
        <f>IF(U358&gt;0,Ruimtestaat[[#This Row],[Prest. (m2 /jaar) werkdagen]]/Ruimtestaat[[#This Row],[Norm (m2/uur) werkdagen]],0)</f>
        <v>0</v>
      </c>
      <c r="X358" s="243">
        <f>Ruimtestaat[[#This Row],[uren / jaar werkdagen]]*Tariefsopbouw!$D$38</f>
        <v>0</v>
      </c>
      <c r="Y358" s="33"/>
      <c r="Z358" s="33">
        <f>IF(Ruimtestaat[[#This Row],[Frequentie weekend]]&gt;0,VALUE(LEFT(Y358,1))*R358,0)</f>
        <v>0</v>
      </c>
      <c r="AA358" s="33">
        <f>IF($Z358&gt;0,VLOOKUP($J358,Ruimtegroepen[],3,FALSE)*VLOOKUP($L358,Vloersoorten[],3,FALSE)*VLOOKUP($Y358,Frequenties[],3,FALSE)*VLOOKUP(#REF!,Locaties[],3,FALSE),0)</f>
        <v>0</v>
      </c>
      <c r="AB358" s="33"/>
      <c r="AC358" s="33"/>
      <c r="AD358" s="33">
        <f>Ruimtestaat[[#This Row],[uren / jaar weekend]]*Tariefsopbouw!$D$40</f>
        <v>0</v>
      </c>
      <c r="AE358" s="86">
        <f>Ruimtestaat[[#This Row],[Prest. (m2 /jaar) weekend]]+Ruimtestaat[[#This Row],[Prest. (m2 /jaar) werkdagen]]</f>
        <v>3150</v>
      </c>
      <c r="AF358" s="86">
        <f>Ruimtestaat[[#This Row],[uren / jaar weekend]]+Ruimtestaat[[#This Row],[uren / jaar werkdagen]]</f>
        <v>0</v>
      </c>
      <c r="AG358" s="87">
        <f>Ruimtestaat[[#This Row],[kosten / jaar weekend]]+Ruimtestaat[[#This Row],[kosten / jaar werkdagen]]</f>
        <v>0</v>
      </c>
    </row>
    <row r="359" spans="1:33" ht="15" customHeight="1">
      <c r="A359" s="187">
        <v>4</v>
      </c>
      <c r="B359" s="21" t="str">
        <f>VLOOKUP(Ruimtestaat[[#This Row],[Code]],Locaties[#All],2,FALSE)</f>
        <v xml:space="preserve">Lyceumstraat </v>
      </c>
      <c r="C359" s="247" t="str">
        <f>VLOOKUP(Ruimtestaat[[#This Row],[Code]],Locaties[#All],4,FALSE)</f>
        <v>Lyceumstraat 36</v>
      </c>
      <c r="D359" s="247" t="str">
        <f>VLOOKUP(Ruimtestaat[[#This Row],[Code]],Locaties[#All],5,FALSE)</f>
        <v>7572 CR</v>
      </c>
      <c r="E359" s="187" t="str">
        <f>VLOOKUP(Ruimtestaat[[#This Row],[Code]],Locaties[#All],6,FALSE)</f>
        <v>Oldenzaal</v>
      </c>
      <c r="F359" s="248"/>
      <c r="G359" s="246">
        <v>1</v>
      </c>
      <c r="H359" s="246" t="s">
        <v>1028</v>
      </c>
      <c r="I359" s="248" t="s">
        <v>414</v>
      </c>
      <c r="J359" s="187">
        <v>6</v>
      </c>
      <c r="K359" s="187" t="str">
        <f>VLOOKUP(Ruimtestaat[[#This Row],[Ruimte code]],Ruimtegroepen[#All],2,FALSE)</f>
        <v>Gangen/hallen</v>
      </c>
      <c r="L359" s="247" t="s">
        <v>677</v>
      </c>
      <c r="M359" s="249" t="s">
        <v>1200</v>
      </c>
      <c r="N359" s="200">
        <v>84</v>
      </c>
      <c r="O359" s="190"/>
      <c r="P359" s="231" t="str">
        <f>VLOOKUP(Ruimtestaat[[#This Row],[Ruimte code]],Ruimtegroepen[#All],4,FALSE)</f>
        <v>V  (Verkeersruimte)</v>
      </c>
      <c r="Q359" s="201"/>
      <c r="R359" s="202">
        <v>42</v>
      </c>
      <c r="S359" s="202" t="s">
        <v>2</v>
      </c>
      <c r="T359" s="202">
        <f>IF(R359&gt;0,IF(RIGHT(Ruimtestaat[[#This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59" s="202">
        <f>IF(T359&gt;0,VLOOKUP($J359,Ruimtegroepen[],3,FALSE)*VLOOKUP($L359,Vloersoorten[],3,FALSE)*VLOOKUP($S359,Frequenties[],3,FALSE)*VLOOKUP($A359,Locaties[],3,FALSE),0)</f>
        <v>0</v>
      </c>
      <c r="V359" s="202">
        <f>Ruimtestaat[[#This Row],[Uitvoeringen werkdagen]]*Ruimtestaat[[#This Row],[Oppervlak (netto)]]</f>
        <v>17640</v>
      </c>
      <c r="W359" s="242">
        <f>IF(U359&gt;0,Ruimtestaat[[#This Row],[Prest. (m2 /jaar) werkdagen]]/Ruimtestaat[[#This Row],[Norm (m2/uur) werkdagen]],0)</f>
        <v>0</v>
      </c>
      <c r="X359" s="243">
        <f>Ruimtestaat[[#This Row],[uren / jaar werkdagen]]*Tariefsopbouw!$D$38</f>
        <v>0</v>
      </c>
      <c r="Y359" s="33"/>
      <c r="Z359" s="33">
        <f>IF(Ruimtestaat[[#This Row],[Frequentie weekend]]&gt;0,VALUE(LEFT(Y359,1))*R359,0)</f>
        <v>0</v>
      </c>
      <c r="AA359" s="33">
        <f>IF($Z359&gt;0,VLOOKUP($J359,Ruimtegroepen[],3,FALSE)*VLOOKUP($L359,Vloersoorten[],3,FALSE)*VLOOKUP($Y359,Frequenties[],3,FALSE)*VLOOKUP(#REF!,Locaties[],3,FALSE),0)</f>
        <v>0</v>
      </c>
      <c r="AB359" s="33"/>
      <c r="AC359" s="33"/>
      <c r="AD359" s="33">
        <f>Ruimtestaat[[#This Row],[uren / jaar weekend]]*Tariefsopbouw!$D$40</f>
        <v>0</v>
      </c>
      <c r="AE359" s="86">
        <f>Ruimtestaat[[#This Row],[Prest. (m2 /jaar) weekend]]+Ruimtestaat[[#This Row],[Prest. (m2 /jaar) werkdagen]]</f>
        <v>17640</v>
      </c>
      <c r="AF359" s="86">
        <f>Ruimtestaat[[#This Row],[uren / jaar weekend]]+Ruimtestaat[[#This Row],[uren / jaar werkdagen]]</f>
        <v>0</v>
      </c>
      <c r="AG359" s="87">
        <f>Ruimtestaat[[#This Row],[kosten / jaar weekend]]+Ruimtestaat[[#This Row],[kosten / jaar werkdagen]]</f>
        <v>0</v>
      </c>
    </row>
    <row r="360" spans="1:33" ht="15" customHeight="1">
      <c r="A360" s="187">
        <v>4</v>
      </c>
      <c r="B360" s="21" t="str">
        <f>VLOOKUP(Ruimtestaat[[#This Row],[Code]],Locaties[#All],2,FALSE)</f>
        <v xml:space="preserve">Lyceumstraat </v>
      </c>
      <c r="C360" s="247" t="str">
        <f>VLOOKUP(Ruimtestaat[[#This Row],[Code]],Locaties[#All],4,FALSE)</f>
        <v>Lyceumstraat 36</v>
      </c>
      <c r="D360" s="247" t="str">
        <f>VLOOKUP(Ruimtestaat[[#This Row],[Code]],Locaties[#All],5,FALSE)</f>
        <v>7572 CR</v>
      </c>
      <c r="E360" s="187" t="str">
        <f>VLOOKUP(Ruimtestaat[[#This Row],[Code]],Locaties[#All],6,FALSE)</f>
        <v>Oldenzaal</v>
      </c>
      <c r="F360" s="248"/>
      <c r="G360" s="246" t="s">
        <v>679</v>
      </c>
      <c r="H360" s="246" t="s">
        <v>1029</v>
      </c>
      <c r="I360" s="248" t="s">
        <v>1010</v>
      </c>
      <c r="J360" s="187">
        <v>14</v>
      </c>
      <c r="K360" s="187" t="str">
        <f>VLOOKUP(Ruimtestaat[[#This Row],[Ruimte code]],Ruimtegroepen[#All],2,FALSE)</f>
        <v>Praktijklokalen/kabinet</v>
      </c>
      <c r="L360" s="247" t="s">
        <v>677</v>
      </c>
      <c r="M360" s="249" t="s">
        <v>1200</v>
      </c>
      <c r="N360" s="200">
        <v>63</v>
      </c>
      <c r="O360" s="190"/>
      <c r="P360" s="231" t="str">
        <f>VLOOKUP(Ruimtestaat[[#This Row],[Ruimte code]],Ruimtegroepen[#All],4,FALSE)</f>
        <v>L  (Lesruimte)</v>
      </c>
      <c r="Q360" s="201"/>
      <c r="R360" s="202">
        <v>42</v>
      </c>
      <c r="S360" s="202" t="s">
        <v>2</v>
      </c>
      <c r="T360" s="202">
        <f>IF(R360&gt;0,IF(RIGHT(Ruimtestaat[[#This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60" s="202">
        <f>IF(T360&gt;0,VLOOKUP($J360,Ruimtegroepen[],3,FALSE)*VLOOKUP($L360,Vloersoorten[],3,FALSE)*VLOOKUP($S360,Frequenties[],3,FALSE)*VLOOKUP($A360,Locaties[],3,FALSE),0)</f>
        <v>0</v>
      </c>
      <c r="V360" s="202">
        <f>Ruimtestaat[[#This Row],[Uitvoeringen werkdagen]]*Ruimtestaat[[#This Row],[Oppervlak (netto)]]</f>
        <v>13230</v>
      </c>
      <c r="W360" s="242">
        <f>IF(U360&gt;0,Ruimtestaat[[#This Row],[Prest. (m2 /jaar) werkdagen]]/Ruimtestaat[[#This Row],[Norm (m2/uur) werkdagen]],0)</f>
        <v>0</v>
      </c>
      <c r="X360" s="243">
        <f>Ruimtestaat[[#This Row],[uren / jaar werkdagen]]*Tariefsopbouw!$D$38</f>
        <v>0</v>
      </c>
      <c r="Y360" s="33"/>
      <c r="Z360" s="33">
        <f>IF(Ruimtestaat[[#This Row],[Frequentie weekend]]&gt;0,VALUE(LEFT(Y360,1))*R360,0)</f>
        <v>0</v>
      </c>
      <c r="AA360" s="33">
        <f>IF($Z360&gt;0,VLOOKUP($J360,Ruimtegroepen[],3,FALSE)*VLOOKUP($L360,Vloersoorten[],3,FALSE)*VLOOKUP($Y360,Frequenties[],3,FALSE)*VLOOKUP(#REF!,Locaties[],3,FALSE),0)</f>
        <v>0</v>
      </c>
      <c r="AB360" s="33"/>
      <c r="AC360" s="33"/>
      <c r="AD360" s="33">
        <f>Ruimtestaat[[#This Row],[uren / jaar weekend]]*Tariefsopbouw!$D$40</f>
        <v>0</v>
      </c>
      <c r="AE360" s="86">
        <f>Ruimtestaat[[#This Row],[Prest. (m2 /jaar) weekend]]+Ruimtestaat[[#This Row],[Prest. (m2 /jaar) werkdagen]]</f>
        <v>13230</v>
      </c>
      <c r="AF360" s="86">
        <f>Ruimtestaat[[#This Row],[uren / jaar weekend]]+Ruimtestaat[[#This Row],[uren / jaar werkdagen]]</f>
        <v>0</v>
      </c>
      <c r="AG360" s="87">
        <f>Ruimtestaat[[#This Row],[kosten / jaar weekend]]+Ruimtestaat[[#This Row],[kosten / jaar werkdagen]]</f>
        <v>0</v>
      </c>
    </row>
    <row r="361" spans="1:33" ht="15" customHeight="1">
      <c r="A361" s="187">
        <v>4</v>
      </c>
      <c r="B361" s="21" t="str">
        <f>VLOOKUP(Ruimtestaat[[#This Row],[Code]],Locaties[#All],2,FALSE)</f>
        <v xml:space="preserve">Lyceumstraat </v>
      </c>
      <c r="C361" s="247" t="str">
        <f>VLOOKUP(Ruimtestaat[[#This Row],[Code]],Locaties[#All],4,FALSE)</f>
        <v>Lyceumstraat 36</v>
      </c>
      <c r="D361" s="247" t="str">
        <f>VLOOKUP(Ruimtestaat[[#This Row],[Code]],Locaties[#All],5,FALSE)</f>
        <v>7572 CR</v>
      </c>
      <c r="E361" s="187" t="str">
        <f>VLOOKUP(Ruimtestaat[[#This Row],[Code]],Locaties[#All],6,FALSE)</f>
        <v>Oldenzaal</v>
      </c>
      <c r="F361" s="248"/>
      <c r="G361" s="246" t="s">
        <v>679</v>
      </c>
      <c r="H361" s="246" t="s">
        <v>1030</v>
      </c>
      <c r="I361" s="248" t="s">
        <v>590</v>
      </c>
      <c r="J361" s="187">
        <v>2</v>
      </c>
      <c r="K361" s="187" t="str">
        <f>VLOOKUP(Ruimtestaat[[#This Row],[Ruimte code]],Ruimtegroepen[#All],2,FALSE)</f>
        <v>Kantoren/kantoortuin</v>
      </c>
      <c r="L361" s="247" t="s">
        <v>1204</v>
      </c>
      <c r="M361" s="249" t="s">
        <v>1205</v>
      </c>
      <c r="N361" s="200">
        <v>27</v>
      </c>
      <c r="O361" s="190"/>
      <c r="P361" s="231" t="str">
        <f>VLOOKUP(Ruimtestaat[[#This Row],[Ruimte code]],Ruimtegroepen[#All],4,FALSE)</f>
        <v>B  (Bureauruimte)</v>
      </c>
      <c r="Q361" s="201"/>
      <c r="R361" s="202">
        <v>42</v>
      </c>
      <c r="S361" s="202" t="s">
        <v>2</v>
      </c>
      <c r="T361" s="202">
        <f>IF(R361&gt;0,IF(RIGHT(Ruimtestaat[[#This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61" s="202">
        <f>IF(T361&gt;0,VLOOKUP($J361,Ruimtegroepen[],3,FALSE)*VLOOKUP($L361,Vloersoorten[],3,FALSE)*VLOOKUP($S361,Frequenties[],3,FALSE)*VLOOKUP($A361,Locaties[],3,FALSE),0)</f>
        <v>0</v>
      </c>
      <c r="V361" s="202">
        <f>Ruimtestaat[[#This Row],[Uitvoeringen werkdagen]]*Ruimtestaat[[#This Row],[Oppervlak (netto)]]</f>
        <v>5670</v>
      </c>
      <c r="W361" s="242">
        <f>IF(U361&gt;0,Ruimtestaat[[#This Row],[Prest. (m2 /jaar) werkdagen]]/Ruimtestaat[[#This Row],[Norm (m2/uur) werkdagen]],0)</f>
        <v>0</v>
      </c>
      <c r="X361" s="243">
        <f>Ruimtestaat[[#This Row],[uren / jaar werkdagen]]*Tariefsopbouw!$D$38</f>
        <v>0</v>
      </c>
      <c r="Y361" s="33"/>
      <c r="Z361" s="33">
        <f>IF(Ruimtestaat[[#This Row],[Frequentie weekend]]&gt;0,VALUE(LEFT(Y361,1))*R361,0)</f>
        <v>0</v>
      </c>
      <c r="AA361" s="33">
        <f>IF($Z361&gt;0,VLOOKUP($J361,Ruimtegroepen[],3,FALSE)*VLOOKUP($L361,Vloersoorten[],3,FALSE)*VLOOKUP($Y361,Frequenties[],3,FALSE)*VLOOKUP(#REF!,Locaties[],3,FALSE),0)</f>
        <v>0</v>
      </c>
      <c r="AB361" s="33"/>
      <c r="AC361" s="33"/>
      <c r="AD361" s="33">
        <f>Ruimtestaat[[#This Row],[uren / jaar weekend]]*Tariefsopbouw!$D$40</f>
        <v>0</v>
      </c>
      <c r="AE361" s="86">
        <f>Ruimtestaat[[#This Row],[Prest. (m2 /jaar) weekend]]+Ruimtestaat[[#This Row],[Prest. (m2 /jaar) werkdagen]]</f>
        <v>5670</v>
      </c>
      <c r="AF361" s="86">
        <f>Ruimtestaat[[#This Row],[uren / jaar weekend]]+Ruimtestaat[[#This Row],[uren / jaar werkdagen]]</f>
        <v>0</v>
      </c>
      <c r="AG361" s="87">
        <f>Ruimtestaat[[#This Row],[kosten / jaar weekend]]+Ruimtestaat[[#This Row],[kosten / jaar werkdagen]]</f>
        <v>0</v>
      </c>
    </row>
    <row r="362" spans="1:33" ht="15" customHeight="1">
      <c r="A362" s="187">
        <v>4</v>
      </c>
      <c r="B362" s="21" t="str">
        <f>VLOOKUP(Ruimtestaat[[#This Row],[Code]],Locaties[#All],2,FALSE)</f>
        <v xml:space="preserve">Lyceumstraat </v>
      </c>
      <c r="C362" s="247" t="str">
        <f>VLOOKUP(Ruimtestaat[[#This Row],[Code]],Locaties[#All],4,FALSE)</f>
        <v>Lyceumstraat 36</v>
      </c>
      <c r="D362" s="247" t="str">
        <f>VLOOKUP(Ruimtestaat[[#This Row],[Code]],Locaties[#All],5,FALSE)</f>
        <v>7572 CR</v>
      </c>
      <c r="E362" s="187" t="str">
        <f>VLOOKUP(Ruimtestaat[[#This Row],[Code]],Locaties[#All],6,FALSE)</f>
        <v>Oldenzaal</v>
      </c>
      <c r="F362" s="248"/>
      <c r="G362" s="246" t="s">
        <v>679</v>
      </c>
      <c r="H362" s="246" t="s">
        <v>1031</v>
      </c>
      <c r="I362" s="248" t="s">
        <v>1010</v>
      </c>
      <c r="J362" s="247">
        <v>14</v>
      </c>
      <c r="K362" s="247" t="str">
        <f>VLOOKUP(Ruimtestaat[[#This Row],[Ruimte code]],Ruimtegroepen[#All],2,FALSE)</f>
        <v>Praktijklokalen/kabinet</v>
      </c>
      <c r="L362" s="247" t="s">
        <v>677</v>
      </c>
      <c r="M362" s="249" t="s">
        <v>1200</v>
      </c>
      <c r="N362" s="200">
        <v>98</v>
      </c>
      <c r="O362" s="190"/>
      <c r="P362" s="231" t="str">
        <f>VLOOKUP(Ruimtestaat[[#This Row],[Ruimte code]],Ruimtegroepen[#All],4,FALSE)</f>
        <v>L  (Lesruimte)</v>
      </c>
      <c r="Q362" s="201"/>
      <c r="R362" s="202">
        <v>42</v>
      </c>
      <c r="S362" s="202" t="s">
        <v>2</v>
      </c>
      <c r="T362" s="202">
        <f>IF(R362&gt;0,IF(RIGHT(Ruimtestaat[[#This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62" s="202">
        <f>IF(T362&gt;0,VLOOKUP($J362,Ruimtegroepen[],3,FALSE)*VLOOKUP($L362,Vloersoorten[],3,FALSE)*VLOOKUP($S362,Frequenties[],3,FALSE)*VLOOKUP($A362,Locaties[],3,FALSE),0)</f>
        <v>0</v>
      </c>
      <c r="V362" s="202">
        <f>Ruimtestaat[[#This Row],[Uitvoeringen werkdagen]]*Ruimtestaat[[#This Row],[Oppervlak (netto)]]</f>
        <v>20580</v>
      </c>
      <c r="W362" s="242">
        <f>IF(U362&gt;0,Ruimtestaat[[#This Row],[Prest. (m2 /jaar) werkdagen]]/Ruimtestaat[[#This Row],[Norm (m2/uur) werkdagen]],0)</f>
        <v>0</v>
      </c>
      <c r="X362" s="243">
        <f>Ruimtestaat[[#This Row],[uren / jaar werkdagen]]*Tariefsopbouw!$D$38</f>
        <v>0</v>
      </c>
      <c r="Y362" s="33"/>
      <c r="Z362" s="33">
        <f>IF(Ruimtestaat[[#This Row],[Frequentie weekend]]&gt;0,VALUE(LEFT(Y362,1))*R362,0)</f>
        <v>0</v>
      </c>
      <c r="AA362" s="33">
        <f>IF($Z362&gt;0,VLOOKUP($J362,Ruimtegroepen[],3,FALSE)*VLOOKUP($L362,Vloersoorten[],3,FALSE)*VLOOKUP($Y362,Frequenties[],3,FALSE)*VLOOKUP(#REF!,Locaties[],3,FALSE),0)</f>
        <v>0</v>
      </c>
      <c r="AB362" s="33"/>
      <c r="AC362" s="33"/>
      <c r="AD362" s="33">
        <f>Ruimtestaat[[#This Row],[uren / jaar weekend]]*Tariefsopbouw!$D$40</f>
        <v>0</v>
      </c>
      <c r="AE362" s="86">
        <f>Ruimtestaat[[#This Row],[Prest. (m2 /jaar) weekend]]+Ruimtestaat[[#This Row],[Prest. (m2 /jaar) werkdagen]]</f>
        <v>20580</v>
      </c>
      <c r="AF362" s="86">
        <f>Ruimtestaat[[#This Row],[uren / jaar weekend]]+Ruimtestaat[[#This Row],[uren / jaar werkdagen]]</f>
        <v>0</v>
      </c>
      <c r="AG362" s="87">
        <f>Ruimtestaat[[#This Row],[kosten / jaar weekend]]+Ruimtestaat[[#This Row],[kosten / jaar werkdagen]]</f>
        <v>0</v>
      </c>
    </row>
    <row r="363" spans="1:33" ht="15" customHeight="1">
      <c r="A363" s="187">
        <v>4</v>
      </c>
      <c r="B363" s="21" t="str">
        <f>VLOOKUP(Ruimtestaat[[#This Row],[Code]],Locaties[#All],2,FALSE)</f>
        <v xml:space="preserve">Lyceumstraat </v>
      </c>
      <c r="C363" s="247" t="str">
        <f>VLOOKUP(Ruimtestaat[[#This Row],[Code]],Locaties[#All],4,FALSE)</f>
        <v>Lyceumstraat 36</v>
      </c>
      <c r="D363" s="247" t="str">
        <f>VLOOKUP(Ruimtestaat[[#This Row],[Code]],Locaties[#All],5,FALSE)</f>
        <v>7572 CR</v>
      </c>
      <c r="E363" s="187" t="str">
        <f>VLOOKUP(Ruimtestaat[[#This Row],[Code]],Locaties[#All],6,FALSE)</f>
        <v>Oldenzaal</v>
      </c>
      <c r="F363" s="248"/>
      <c r="G363" s="246" t="s">
        <v>679</v>
      </c>
      <c r="H363" s="246" t="s">
        <v>1032</v>
      </c>
      <c r="I363" s="248" t="s">
        <v>465</v>
      </c>
      <c r="J363" s="247">
        <v>16</v>
      </c>
      <c r="K363" s="247" t="str">
        <f>VLOOKUP(Ruimtestaat[[#This Row],[Ruimte code]],Ruimtegroepen[#All],2,FALSE)</f>
        <v>Leslokalen/computerlokaal</v>
      </c>
      <c r="L363" s="247" t="s">
        <v>677</v>
      </c>
      <c r="M363" s="249" t="s">
        <v>1200</v>
      </c>
      <c r="N363" s="200">
        <v>52</v>
      </c>
      <c r="O363" s="190"/>
      <c r="P363" s="231" t="str">
        <f>VLOOKUP(Ruimtestaat[[#This Row],[Ruimte code]],Ruimtegroepen[#All],4,FALSE)</f>
        <v>L  (Lesruimte)</v>
      </c>
      <c r="Q363" s="201"/>
      <c r="R363" s="202">
        <v>42</v>
      </c>
      <c r="S363" s="202" t="s">
        <v>2</v>
      </c>
      <c r="T363" s="202">
        <f>IF(R363&gt;0,IF(RIGHT(Ruimtestaat[[#This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63" s="202">
        <f>IF(T363&gt;0,VLOOKUP($J363,Ruimtegroepen[],3,FALSE)*VLOOKUP($L363,Vloersoorten[],3,FALSE)*VLOOKUP($S363,Frequenties[],3,FALSE)*VLOOKUP($A363,Locaties[],3,FALSE),0)</f>
        <v>0</v>
      </c>
      <c r="V363" s="202">
        <f>Ruimtestaat[[#This Row],[Uitvoeringen werkdagen]]*Ruimtestaat[[#This Row],[Oppervlak (netto)]]</f>
        <v>10920</v>
      </c>
      <c r="W363" s="242">
        <f>IF(U363&gt;0,Ruimtestaat[[#This Row],[Prest. (m2 /jaar) werkdagen]]/Ruimtestaat[[#This Row],[Norm (m2/uur) werkdagen]],0)</f>
        <v>0</v>
      </c>
      <c r="X363" s="243">
        <f>Ruimtestaat[[#This Row],[uren / jaar werkdagen]]*Tariefsopbouw!$D$38</f>
        <v>0</v>
      </c>
      <c r="Y363" s="33"/>
      <c r="Z363" s="33">
        <f>IF(Ruimtestaat[[#This Row],[Frequentie weekend]]&gt;0,VALUE(LEFT(Y363,1))*R363,0)</f>
        <v>0</v>
      </c>
      <c r="AA363" s="33">
        <f>IF($Z363&gt;0,VLOOKUP($J363,Ruimtegroepen[],3,FALSE)*VLOOKUP($L363,Vloersoorten[],3,FALSE)*VLOOKUP($Y363,Frequenties[],3,FALSE)*VLOOKUP(#REF!,Locaties[],3,FALSE),0)</f>
        <v>0</v>
      </c>
      <c r="AB363" s="33"/>
      <c r="AC363" s="33"/>
      <c r="AD363" s="33">
        <f>Ruimtestaat[[#This Row],[uren / jaar weekend]]*Tariefsopbouw!$D$40</f>
        <v>0</v>
      </c>
      <c r="AE363" s="86">
        <f>Ruimtestaat[[#This Row],[Prest. (m2 /jaar) weekend]]+Ruimtestaat[[#This Row],[Prest. (m2 /jaar) werkdagen]]</f>
        <v>10920</v>
      </c>
      <c r="AF363" s="86">
        <f>Ruimtestaat[[#This Row],[uren / jaar weekend]]+Ruimtestaat[[#This Row],[uren / jaar werkdagen]]</f>
        <v>0</v>
      </c>
      <c r="AG363" s="87">
        <f>Ruimtestaat[[#This Row],[kosten / jaar weekend]]+Ruimtestaat[[#This Row],[kosten / jaar werkdagen]]</f>
        <v>0</v>
      </c>
    </row>
    <row r="364" spans="1:33" ht="15" customHeight="1">
      <c r="A364" s="187">
        <v>4</v>
      </c>
      <c r="B364" s="21" t="str">
        <f>VLOOKUP(Ruimtestaat[[#This Row],[Code]],Locaties[#All],2,FALSE)</f>
        <v xml:space="preserve">Lyceumstraat </v>
      </c>
      <c r="C364" s="247" t="str">
        <f>VLOOKUP(Ruimtestaat[[#This Row],[Code]],Locaties[#All],4,FALSE)</f>
        <v>Lyceumstraat 36</v>
      </c>
      <c r="D364" s="247" t="str">
        <f>VLOOKUP(Ruimtestaat[[#This Row],[Code]],Locaties[#All],5,FALSE)</f>
        <v>7572 CR</v>
      </c>
      <c r="E364" s="187" t="str">
        <f>VLOOKUP(Ruimtestaat[[#This Row],[Code]],Locaties[#All],6,FALSE)</f>
        <v>Oldenzaal</v>
      </c>
      <c r="F364" s="248"/>
      <c r="G364" s="246" t="s">
        <v>679</v>
      </c>
      <c r="H364" s="246" t="s">
        <v>1033</v>
      </c>
      <c r="I364" s="248" t="s">
        <v>1010</v>
      </c>
      <c r="J364" s="247">
        <v>14</v>
      </c>
      <c r="K364" s="247" t="str">
        <f>VLOOKUP(Ruimtestaat[[#This Row],[Ruimte code]],Ruimtegroepen[#All],2,FALSE)</f>
        <v>Praktijklokalen/kabinet</v>
      </c>
      <c r="L364" s="247" t="s">
        <v>677</v>
      </c>
      <c r="M364" s="249" t="s">
        <v>1200</v>
      </c>
      <c r="N364" s="200">
        <v>88</v>
      </c>
      <c r="O364" s="190"/>
      <c r="P364" s="231" t="str">
        <f>VLOOKUP(Ruimtestaat[[#This Row],[Ruimte code]],Ruimtegroepen[#All],4,FALSE)</f>
        <v>L  (Lesruimte)</v>
      </c>
      <c r="Q364" s="201"/>
      <c r="R364" s="202">
        <v>42</v>
      </c>
      <c r="S364" s="202" t="s">
        <v>2</v>
      </c>
      <c r="T364" s="202">
        <f>IF(R364&gt;0,IF(RIGHT(Ruimtestaat[[#This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64" s="202">
        <f>IF(T364&gt;0,VLOOKUP($J364,Ruimtegroepen[],3,FALSE)*VLOOKUP($L364,Vloersoorten[],3,FALSE)*VLOOKUP($S364,Frequenties[],3,FALSE)*VLOOKUP($A364,Locaties[],3,FALSE),0)</f>
        <v>0</v>
      </c>
      <c r="V364" s="202">
        <f>Ruimtestaat[[#This Row],[Uitvoeringen werkdagen]]*Ruimtestaat[[#This Row],[Oppervlak (netto)]]</f>
        <v>18480</v>
      </c>
      <c r="W364" s="242">
        <f>IF(U364&gt;0,Ruimtestaat[[#This Row],[Prest. (m2 /jaar) werkdagen]]/Ruimtestaat[[#This Row],[Norm (m2/uur) werkdagen]],0)</f>
        <v>0</v>
      </c>
      <c r="X364" s="243">
        <f>Ruimtestaat[[#This Row],[uren / jaar werkdagen]]*Tariefsopbouw!$D$38</f>
        <v>0</v>
      </c>
      <c r="Y364" s="33"/>
      <c r="Z364" s="33">
        <f>IF(Ruimtestaat[[#This Row],[Frequentie weekend]]&gt;0,VALUE(LEFT(Y364,1))*R364,0)</f>
        <v>0</v>
      </c>
      <c r="AA364" s="33">
        <f>IF($Z364&gt;0,VLOOKUP($J364,Ruimtegroepen[],3,FALSE)*VLOOKUP($L364,Vloersoorten[],3,FALSE)*VLOOKUP($Y364,Frequenties[],3,FALSE)*VLOOKUP(#REF!,Locaties[],3,FALSE),0)</f>
        <v>0</v>
      </c>
      <c r="AB364" s="33"/>
      <c r="AC364" s="33"/>
      <c r="AD364" s="33">
        <f>Ruimtestaat[[#This Row],[uren / jaar weekend]]*Tariefsopbouw!$D$40</f>
        <v>0</v>
      </c>
      <c r="AE364" s="86">
        <f>Ruimtestaat[[#This Row],[Prest. (m2 /jaar) weekend]]+Ruimtestaat[[#This Row],[Prest. (m2 /jaar) werkdagen]]</f>
        <v>18480</v>
      </c>
      <c r="AF364" s="86">
        <f>Ruimtestaat[[#This Row],[uren / jaar weekend]]+Ruimtestaat[[#This Row],[uren / jaar werkdagen]]</f>
        <v>0</v>
      </c>
      <c r="AG364" s="87">
        <f>Ruimtestaat[[#This Row],[kosten / jaar weekend]]+Ruimtestaat[[#This Row],[kosten / jaar werkdagen]]</f>
        <v>0</v>
      </c>
    </row>
    <row r="365" spans="1:33" ht="15" customHeight="1">
      <c r="A365" s="187">
        <v>4</v>
      </c>
      <c r="B365" s="21" t="str">
        <f>VLOOKUP(Ruimtestaat[[#This Row],[Code]],Locaties[#All],2,FALSE)</f>
        <v xml:space="preserve">Lyceumstraat </v>
      </c>
      <c r="C365" s="247" t="str">
        <f>VLOOKUP(Ruimtestaat[[#This Row],[Code]],Locaties[#All],4,FALSE)</f>
        <v>Lyceumstraat 36</v>
      </c>
      <c r="D365" s="247" t="str">
        <f>VLOOKUP(Ruimtestaat[[#This Row],[Code]],Locaties[#All],5,FALSE)</f>
        <v>7572 CR</v>
      </c>
      <c r="E365" s="187" t="str">
        <f>VLOOKUP(Ruimtestaat[[#This Row],[Code]],Locaties[#All],6,FALSE)</f>
        <v>Oldenzaal</v>
      </c>
      <c r="F365" s="248"/>
      <c r="G365" s="246" t="s">
        <v>679</v>
      </c>
      <c r="H365" s="246" t="s">
        <v>1034</v>
      </c>
      <c r="I365" s="248" t="s">
        <v>465</v>
      </c>
      <c r="J365" s="247">
        <v>16</v>
      </c>
      <c r="K365" s="247" t="str">
        <f>VLOOKUP(Ruimtestaat[[#This Row],[Ruimte code]],Ruimtegroepen[#All],2,FALSE)</f>
        <v>Leslokalen/computerlokaal</v>
      </c>
      <c r="L365" s="247" t="s">
        <v>677</v>
      </c>
      <c r="M365" s="249" t="s">
        <v>1200</v>
      </c>
      <c r="N365" s="200">
        <v>55</v>
      </c>
      <c r="O365" s="190"/>
      <c r="P365" s="231" t="str">
        <f>VLOOKUP(Ruimtestaat[[#This Row],[Ruimte code]],Ruimtegroepen[#All],4,FALSE)</f>
        <v>L  (Lesruimte)</v>
      </c>
      <c r="Q365" s="201"/>
      <c r="R365" s="202">
        <v>42</v>
      </c>
      <c r="S365" s="202" t="s">
        <v>2</v>
      </c>
      <c r="T365" s="202">
        <f>IF(R365&gt;0,IF(RIGHT(Ruimtestaat[[#This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65" s="202">
        <f>IF(T365&gt;0,VLOOKUP($J365,Ruimtegroepen[],3,FALSE)*VLOOKUP($L365,Vloersoorten[],3,FALSE)*VLOOKUP($S365,Frequenties[],3,FALSE)*VLOOKUP($A365,Locaties[],3,FALSE),0)</f>
        <v>0</v>
      </c>
      <c r="V365" s="202">
        <f>Ruimtestaat[[#This Row],[Uitvoeringen werkdagen]]*Ruimtestaat[[#This Row],[Oppervlak (netto)]]</f>
        <v>11550</v>
      </c>
      <c r="W365" s="242">
        <f>IF(U365&gt;0,Ruimtestaat[[#This Row],[Prest. (m2 /jaar) werkdagen]]/Ruimtestaat[[#This Row],[Norm (m2/uur) werkdagen]],0)</f>
        <v>0</v>
      </c>
      <c r="X365" s="243">
        <f>Ruimtestaat[[#This Row],[uren / jaar werkdagen]]*Tariefsopbouw!$D$38</f>
        <v>0</v>
      </c>
      <c r="Y365" s="33"/>
      <c r="Z365" s="33">
        <f>IF(Ruimtestaat[[#This Row],[Frequentie weekend]]&gt;0,VALUE(LEFT(Y365,1))*R365,0)</f>
        <v>0</v>
      </c>
      <c r="AA365" s="33">
        <f>IF($Z365&gt;0,VLOOKUP($J365,Ruimtegroepen[],3,FALSE)*VLOOKUP($L365,Vloersoorten[],3,FALSE)*VLOOKUP($Y365,Frequenties[],3,FALSE)*VLOOKUP(#REF!,Locaties[],3,FALSE),0)</f>
        <v>0</v>
      </c>
      <c r="AB365" s="33"/>
      <c r="AC365" s="33"/>
      <c r="AD365" s="33">
        <f>Ruimtestaat[[#This Row],[uren / jaar weekend]]*Tariefsopbouw!$D$40</f>
        <v>0</v>
      </c>
      <c r="AE365" s="86">
        <f>Ruimtestaat[[#This Row],[Prest. (m2 /jaar) weekend]]+Ruimtestaat[[#This Row],[Prest. (m2 /jaar) werkdagen]]</f>
        <v>11550</v>
      </c>
      <c r="AF365" s="86">
        <f>Ruimtestaat[[#This Row],[uren / jaar weekend]]+Ruimtestaat[[#This Row],[uren / jaar werkdagen]]</f>
        <v>0</v>
      </c>
      <c r="AG365" s="87">
        <f>Ruimtestaat[[#This Row],[kosten / jaar weekend]]+Ruimtestaat[[#This Row],[kosten / jaar werkdagen]]</f>
        <v>0</v>
      </c>
    </row>
    <row r="366" spans="1:33" ht="15" customHeight="1">
      <c r="A366" s="187">
        <v>4</v>
      </c>
      <c r="B366" s="21" t="str">
        <f>VLOOKUP(Ruimtestaat[[#This Row],[Code]],Locaties[#All],2,FALSE)</f>
        <v xml:space="preserve">Lyceumstraat </v>
      </c>
      <c r="C366" s="247" t="str">
        <f>VLOOKUP(Ruimtestaat[[#This Row],[Code]],Locaties[#All],4,FALSE)</f>
        <v>Lyceumstraat 36</v>
      </c>
      <c r="D366" s="247" t="str">
        <f>VLOOKUP(Ruimtestaat[[#This Row],[Code]],Locaties[#All],5,FALSE)</f>
        <v>7572 CR</v>
      </c>
      <c r="E366" s="187" t="str">
        <f>VLOOKUP(Ruimtestaat[[#This Row],[Code]],Locaties[#All],6,FALSE)</f>
        <v>Oldenzaal</v>
      </c>
      <c r="F366" s="248"/>
      <c r="G366" s="246" t="s">
        <v>679</v>
      </c>
      <c r="H366" s="246" t="s">
        <v>1035</v>
      </c>
      <c r="I366" s="248" t="s">
        <v>678</v>
      </c>
      <c r="J366" s="247">
        <v>14</v>
      </c>
      <c r="K366" s="247" t="str">
        <f>VLOOKUP(Ruimtestaat[[#This Row],[Ruimte code]],Ruimtegroepen[#All],2,FALSE)</f>
        <v>Praktijklokalen/kabinet</v>
      </c>
      <c r="L366" s="247" t="s">
        <v>677</v>
      </c>
      <c r="M366" s="249" t="s">
        <v>1200</v>
      </c>
      <c r="N366" s="200">
        <v>40</v>
      </c>
      <c r="O366" s="190"/>
      <c r="P366" s="231" t="str">
        <f>VLOOKUP(Ruimtestaat[[#This Row],[Ruimte code]],Ruimtegroepen[#All],4,FALSE)</f>
        <v>L  (Lesruimte)</v>
      </c>
      <c r="Q366" s="201"/>
      <c r="R366" s="202">
        <v>42</v>
      </c>
      <c r="S366" s="202" t="s">
        <v>2</v>
      </c>
      <c r="T366" s="202">
        <f>IF(R366&gt;0,IF(RIGHT(Ruimtestaat[[#This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66" s="202">
        <f>IF(T366&gt;0,VLOOKUP($J366,Ruimtegroepen[],3,FALSE)*VLOOKUP($L366,Vloersoorten[],3,FALSE)*VLOOKUP($S366,Frequenties[],3,FALSE)*VLOOKUP($A366,Locaties[],3,FALSE),0)</f>
        <v>0</v>
      </c>
      <c r="V366" s="202">
        <f>Ruimtestaat[[#This Row],[Uitvoeringen werkdagen]]*Ruimtestaat[[#This Row],[Oppervlak (netto)]]</f>
        <v>8400</v>
      </c>
      <c r="W366" s="242">
        <f>IF(U366&gt;0,Ruimtestaat[[#This Row],[Prest. (m2 /jaar) werkdagen]]/Ruimtestaat[[#This Row],[Norm (m2/uur) werkdagen]],0)</f>
        <v>0</v>
      </c>
      <c r="X366" s="243">
        <f>Ruimtestaat[[#This Row],[uren / jaar werkdagen]]*Tariefsopbouw!$D$38</f>
        <v>0</v>
      </c>
      <c r="Y366" s="33"/>
      <c r="Z366" s="33">
        <f>IF(Ruimtestaat[[#This Row],[Frequentie weekend]]&gt;0,VALUE(LEFT(Y366,1))*R366,0)</f>
        <v>0</v>
      </c>
      <c r="AA366" s="33">
        <f>IF($Z366&gt;0,VLOOKUP($J366,Ruimtegroepen[],3,FALSE)*VLOOKUP($L366,Vloersoorten[],3,FALSE)*VLOOKUP($Y366,Frequenties[],3,FALSE)*VLOOKUP(#REF!,Locaties[],3,FALSE),0)</f>
        <v>0</v>
      </c>
      <c r="AB366" s="33"/>
      <c r="AC366" s="33"/>
      <c r="AD366" s="33">
        <f>Ruimtestaat[[#This Row],[uren / jaar weekend]]*Tariefsopbouw!$D$40</f>
        <v>0</v>
      </c>
      <c r="AE366" s="86">
        <f>Ruimtestaat[[#This Row],[Prest. (m2 /jaar) weekend]]+Ruimtestaat[[#This Row],[Prest. (m2 /jaar) werkdagen]]</f>
        <v>8400</v>
      </c>
      <c r="AF366" s="86">
        <f>Ruimtestaat[[#This Row],[uren / jaar weekend]]+Ruimtestaat[[#This Row],[uren / jaar werkdagen]]</f>
        <v>0</v>
      </c>
      <c r="AG366" s="87">
        <f>Ruimtestaat[[#This Row],[kosten / jaar weekend]]+Ruimtestaat[[#This Row],[kosten / jaar werkdagen]]</f>
        <v>0</v>
      </c>
    </row>
    <row r="367" spans="1:33" ht="15" customHeight="1">
      <c r="A367" s="187">
        <v>4</v>
      </c>
      <c r="B367" s="21" t="str">
        <f>VLOOKUP(Ruimtestaat[[#This Row],[Code]],Locaties[#All],2,FALSE)</f>
        <v xml:space="preserve">Lyceumstraat </v>
      </c>
      <c r="C367" s="247" t="str">
        <f>VLOOKUP(Ruimtestaat[[#This Row],[Code]],Locaties[#All],4,FALSE)</f>
        <v>Lyceumstraat 36</v>
      </c>
      <c r="D367" s="247" t="str">
        <f>VLOOKUP(Ruimtestaat[[#This Row],[Code]],Locaties[#All],5,FALSE)</f>
        <v>7572 CR</v>
      </c>
      <c r="E367" s="187" t="str">
        <f>VLOOKUP(Ruimtestaat[[#This Row],[Code]],Locaties[#All],6,FALSE)</f>
        <v>Oldenzaal</v>
      </c>
      <c r="F367" s="248"/>
      <c r="G367" s="246" t="s">
        <v>679</v>
      </c>
      <c r="H367" s="246" t="s">
        <v>1036</v>
      </c>
      <c r="I367" s="248" t="s">
        <v>678</v>
      </c>
      <c r="J367" s="187">
        <v>14</v>
      </c>
      <c r="K367" s="187" t="str">
        <f>VLOOKUP(Ruimtestaat[[#This Row],[Ruimte code]],Ruimtegroepen[#All],2,FALSE)</f>
        <v>Praktijklokalen/kabinet</v>
      </c>
      <c r="L367" s="247" t="s">
        <v>677</v>
      </c>
      <c r="M367" s="249" t="s">
        <v>1200</v>
      </c>
      <c r="N367" s="200">
        <v>29</v>
      </c>
      <c r="O367" s="190"/>
      <c r="P367" s="231" t="str">
        <f>VLOOKUP(Ruimtestaat[[#This Row],[Ruimte code]],Ruimtegroepen[#All],4,FALSE)</f>
        <v>L  (Lesruimte)</v>
      </c>
      <c r="Q367" s="201"/>
      <c r="R367" s="202">
        <v>42</v>
      </c>
      <c r="S367" s="202" t="s">
        <v>2</v>
      </c>
      <c r="T367" s="202">
        <f>IF(R367&gt;0,IF(RIGHT(Ruimtestaat[[#This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67" s="202">
        <f>IF(T367&gt;0,VLOOKUP($J367,Ruimtegroepen[],3,FALSE)*VLOOKUP($L367,Vloersoorten[],3,FALSE)*VLOOKUP($S367,Frequenties[],3,FALSE)*VLOOKUP($A367,Locaties[],3,FALSE),0)</f>
        <v>0</v>
      </c>
      <c r="V367" s="202">
        <f>Ruimtestaat[[#This Row],[Uitvoeringen werkdagen]]*Ruimtestaat[[#This Row],[Oppervlak (netto)]]</f>
        <v>6090</v>
      </c>
      <c r="W367" s="242">
        <f>IF(U367&gt;0,Ruimtestaat[[#This Row],[Prest. (m2 /jaar) werkdagen]]/Ruimtestaat[[#This Row],[Norm (m2/uur) werkdagen]],0)</f>
        <v>0</v>
      </c>
      <c r="X367" s="243">
        <f>Ruimtestaat[[#This Row],[uren / jaar werkdagen]]*Tariefsopbouw!$D$38</f>
        <v>0</v>
      </c>
      <c r="Y367" s="33"/>
      <c r="Z367" s="33">
        <f>IF(Ruimtestaat[[#This Row],[Frequentie weekend]]&gt;0,VALUE(LEFT(Y367,1))*R367,0)</f>
        <v>0</v>
      </c>
      <c r="AA367" s="33">
        <f>IF($Z367&gt;0,VLOOKUP($J367,Ruimtegroepen[],3,FALSE)*VLOOKUP($L367,Vloersoorten[],3,FALSE)*VLOOKUP($Y367,Frequenties[],3,FALSE)*VLOOKUP(#REF!,Locaties[],3,FALSE),0)</f>
        <v>0</v>
      </c>
      <c r="AB367" s="33"/>
      <c r="AC367" s="33"/>
      <c r="AD367" s="33">
        <f>Ruimtestaat[[#This Row],[uren / jaar weekend]]*Tariefsopbouw!$D$40</f>
        <v>0</v>
      </c>
      <c r="AE367" s="86">
        <f>Ruimtestaat[[#This Row],[Prest. (m2 /jaar) weekend]]+Ruimtestaat[[#This Row],[Prest. (m2 /jaar) werkdagen]]</f>
        <v>6090</v>
      </c>
      <c r="AF367" s="86">
        <f>Ruimtestaat[[#This Row],[uren / jaar weekend]]+Ruimtestaat[[#This Row],[uren / jaar werkdagen]]</f>
        <v>0</v>
      </c>
      <c r="AG367" s="87">
        <f>Ruimtestaat[[#This Row],[kosten / jaar weekend]]+Ruimtestaat[[#This Row],[kosten / jaar werkdagen]]</f>
        <v>0</v>
      </c>
    </row>
    <row r="368" spans="1:33" ht="15" customHeight="1">
      <c r="A368" s="187">
        <v>4</v>
      </c>
      <c r="B368" s="21" t="str">
        <f>VLOOKUP(Ruimtestaat[[#This Row],[Code]],Locaties[#All],2,FALSE)</f>
        <v xml:space="preserve">Lyceumstraat </v>
      </c>
      <c r="C368" s="247" t="str">
        <f>VLOOKUP(Ruimtestaat[[#This Row],[Code]],Locaties[#All],4,FALSE)</f>
        <v>Lyceumstraat 36</v>
      </c>
      <c r="D368" s="247" t="str">
        <f>VLOOKUP(Ruimtestaat[[#This Row],[Code]],Locaties[#All],5,FALSE)</f>
        <v>7572 CR</v>
      </c>
      <c r="E368" s="187" t="str">
        <f>VLOOKUP(Ruimtestaat[[#This Row],[Code]],Locaties[#All],6,FALSE)</f>
        <v>Oldenzaal</v>
      </c>
      <c r="F368" s="248"/>
      <c r="G368" s="246" t="s">
        <v>679</v>
      </c>
      <c r="H368" s="246" t="s">
        <v>1037</v>
      </c>
      <c r="I368" s="248" t="s">
        <v>678</v>
      </c>
      <c r="J368" s="202">
        <v>14</v>
      </c>
      <c r="K368" s="202" t="str">
        <f>VLOOKUP(Ruimtestaat[[#This Row],[Ruimte code]],Ruimtegroepen[#All],2,FALSE)</f>
        <v>Praktijklokalen/kabinet</v>
      </c>
      <c r="L368" s="247" t="s">
        <v>677</v>
      </c>
      <c r="M368" s="249" t="s">
        <v>1200</v>
      </c>
      <c r="N368" s="200">
        <v>37</v>
      </c>
      <c r="O368" s="190"/>
      <c r="P368" s="231" t="str">
        <f>VLOOKUP(Ruimtestaat[[#This Row],[Ruimte code]],Ruimtegroepen[#All],4,FALSE)</f>
        <v>L  (Lesruimte)</v>
      </c>
      <c r="Q368" s="201"/>
      <c r="R368" s="202">
        <v>42</v>
      </c>
      <c r="S368" s="202" t="s">
        <v>2</v>
      </c>
      <c r="T368" s="202">
        <f>IF(R368&gt;0,IF(RIGHT(Ruimtestaat[[#This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68" s="202">
        <f>IF(T368&gt;0,VLOOKUP($J368,Ruimtegroepen[],3,FALSE)*VLOOKUP($L368,Vloersoorten[],3,FALSE)*VLOOKUP($S368,Frequenties[],3,FALSE)*VLOOKUP($A368,Locaties[],3,FALSE),0)</f>
        <v>0</v>
      </c>
      <c r="V368" s="202">
        <f>Ruimtestaat[[#This Row],[Uitvoeringen werkdagen]]*Ruimtestaat[[#This Row],[Oppervlak (netto)]]</f>
        <v>7770</v>
      </c>
      <c r="W368" s="242">
        <f>IF(U368&gt;0,Ruimtestaat[[#This Row],[Prest. (m2 /jaar) werkdagen]]/Ruimtestaat[[#This Row],[Norm (m2/uur) werkdagen]],0)</f>
        <v>0</v>
      </c>
      <c r="X368" s="243">
        <f>Ruimtestaat[[#This Row],[uren / jaar werkdagen]]*Tariefsopbouw!$D$38</f>
        <v>0</v>
      </c>
      <c r="Y368" s="33"/>
      <c r="Z368" s="33">
        <f>IF(Ruimtestaat[[#This Row],[Frequentie weekend]]&gt;0,VALUE(LEFT(Y368,1))*R368,0)</f>
        <v>0</v>
      </c>
      <c r="AA368" s="33">
        <f>IF($Z368&gt;0,VLOOKUP($J368,Ruimtegroepen[],3,FALSE)*VLOOKUP($L368,Vloersoorten[],3,FALSE)*VLOOKUP($Y368,Frequenties[],3,FALSE)*VLOOKUP(#REF!,Locaties[],3,FALSE),0)</f>
        <v>0</v>
      </c>
      <c r="AB368" s="33"/>
      <c r="AC368" s="33"/>
      <c r="AD368" s="33">
        <f>Ruimtestaat[[#This Row],[uren / jaar weekend]]*Tariefsopbouw!$D$40</f>
        <v>0</v>
      </c>
      <c r="AE368" s="86">
        <f>Ruimtestaat[[#This Row],[Prest. (m2 /jaar) weekend]]+Ruimtestaat[[#This Row],[Prest. (m2 /jaar) werkdagen]]</f>
        <v>7770</v>
      </c>
      <c r="AF368" s="86">
        <f>Ruimtestaat[[#This Row],[uren / jaar weekend]]+Ruimtestaat[[#This Row],[uren / jaar werkdagen]]</f>
        <v>0</v>
      </c>
      <c r="AG368" s="87">
        <f>Ruimtestaat[[#This Row],[kosten / jaar weekend]]+Ruimtestaat[[#This Row],[kosten / jaar werkdagen]]</f>
        <v>0</v>
      </c>
    </row>
    <row r="369" spans="1:33" ht="15" customHeight="1">
      <c r="A369" s="187">
        <v>4</v>
      </c>
      <c r="B369" s="21" t="str">
        <f>VLOOKUP(Ruimtestaat[[#This Row],[Code]],Locaties[#All],2,FALSE)</f>
        <v xml:space="preserve">Lyceumstraat </v>
      </c>
      <c r="C369" s="247" t="str">
        <f>VLOOKUP(Ruimtestaat[[#This Row],[Code]],Locaties[#All],4,FALSE)</f>
        <v>Lyceumstraat 36</v>
      </c>
      <c r="D369" s="247" t="str">
        <f>VLOOKUP(Ruimtestaat[[#This Row],[Code]],Locaties[#All],5,FALSE)</f>
        <v>7572 CR</v>
      </c>
      <c r="E369" s="187" t="str">
        <f>VLOOKUP(Ruimtestaat[[#This Row],[Code]],Locaties[#All],6,FALSE)</f>
        <v>Oldenzaal</v>
      </c>
      <c r="F369" s="248"/>
      <c r="G369" s="246" t="s">
        <v>679</v>
      </c>
      <c r="H369" s="246" t="s">
        <v>1038</v>
      </c>
      <c r="I369" s="248" t="s">
        <v>596</v>
      </c>
      <c r="J369" s="187">
        <v>10</v>
      </c>
      <c r="K369" s="187" t="str">
        <f>VLOOKUP(Ruimtestaat[[#This Row],[Ruimte code]],Ruimtegroepen[#All],2,FALSE)</f>
        <v>Trappenhuizen/lift</v>
      </c>
      <c r="L369" s="202" t="s">
        <v>108</v>
      </c>
      <c r="M369" s="249" t="s">
        <v>1201</v>
      </c>
      <c r="N369" s="200">
        <v>25</v>
      </c>
      <c r="O369" s="190"/>
      <c r="P369" s="231" t="str">
        <f>VLOOKUP(Ruimtestaat[[#This Row],[Ruimte code]],Ruimtegroepen[#All],4,FALSE)</f>
        <v>V  (Verkeersruimte)</v>
      </c>
      <c r="Q369" s="201"/>
      <c r="R369" s="202">
        <v>42</v>
      </c>
      <c r="S369" s="202" t="s">
        <v>2</v>
      </c>
      <c r="T369" s="202">
        <f>IF(R369&gt;0,IF(RIGHT(Ruimtestaat[[#This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69" s="202">
        <f>IF(T369&gt;0,VLOOKUP($J369,Ruimtegroepen[],3,FALSE)*VLOOKUP($L369,Vloersoorten[],3,FALSE)*VLOOKUP($S369,Frequenties[],3,FALSE)*VLOOKUP($A369,Locaties[],3,FALSE),0)</f>
        <v>0</v>
      </c>
      <c r="V369" s="202">
        <f>Ruimtestaat[[#This Row],[Uitvoeringen werkdagen]]*Ruimtestaat[[#This Row],[Oppervlak (netto)]]</f>
        <v>5250</v>
      </c>
      <c r="W369" s="242">
        <f>IF(U369&gt;0,Ruimtestaat[[#This Row],[Prest. (m2 /jaar) werkdagen]]/Ruimtestaat[[#This Row],[Norm (m2/uur) werkdagen]],0)</f>
        <v>0</v>
      </c>
      <c r="X369" s="243">
        <f>Ruimtestaat[[#This Row],[uren / jaar werkdagen]]*Tariefsopbouw!$D$38</f>
        <v>0</v>
      </c>
      <c r="Y369" s="33"/>
      <c r="Z369" s="33">
        <f>IF(Ruimtestaat[[#This Row],[Frequentie weekend]]&gt;0,VALUE(LEFT(Y369,1))*R369,0)</f>
        <v>0</v>
      </c>
      <c r="AA369" s="33">
        <f>IF($Z369&gt;0,VLOOKUP($J369,Ruimtegroepen[],3,FALSE)*VLOOKUP($L369,Vloersoorten[],3,FALSE)*VLOOKUP($Y369,Frequenties[],3,FALSE)*VLOOKUP(#REF!,Locaties[],3,FALSE),0)</f>
        <v>0</v>
      </c>
      <c r="AB369" s="33"/>
      <c r="AC369" s="33"/>
      <c r="AD369" s="33">
        <f>Ruimtestaat[[#This Row],[uren / jaar weekend]]*Tariefsopbouw!$D$40</f>
        <v>0</v>
      </c>
      <c r="AE369" s="86">
        <f>Ruimtestaat[[#This Row],[Prest. (m2 /jaar) weekend]]+Ruimtestaat[[#This Row],[Prest. (m2 /jaar) werkdagen]]</f>
        <v>5250</v>
      </c>
      <c r="AF369" s="86">
        <f>Ruimtestaat[[#This Row],[uren / jaar weekend]]+Ruimtestaat[[#This Row],[uren / jaar werkdagen]]</f>
        <v>0</v>
      </c>
      <c r="AG369" s="87">
        <f>Ruimtestaat[[#This Row],[kosten / jaar weekend]]+Ruimtestaat[[#This Row],[kosten / jaar werkdagen]]</f>
        <v>0</v>
      </c>
    </row>
    <row r="370" spans="1:33" ht="15" customHeight="1">
      <c r="A370" s="187">
        <v>4</v>
      </c>
      <c r="B370" s="21" t="str">
        <f>VLOOKUP(Ruimtestaat[[#This Row],[Code]],Locaties[#All],2,FALSE)</f>
        <v xml:space="preserve">Lyceumstraat </v>
      </c>
      <c r="C370" s="247" t="str">
        <f>VLOOKUP(Ruimtestaat[[#This Row],[Code]],Locaties[#All],4,FALSE)</f>
        <v>Lyceumstraat 36</v>
      </c>
      <c r="D370" s="247" t="str">
        <f>VLOOKUP(Ruimtestaat[[#This Row],[Code]],Locaties[#All],5,FALSE)</f>
        <v>7572 CR</v>
      </c>
      <c r="E370" s="187" t="str">
        <f>VLOOKUP(Ruimtestaat[[#This Row],[Code]],Locaties[#All],6,FALSE)</f>
        <v>Oldenzaal</v>
      </c>
      <c r="F370" s="248"/>
      <c r="G370" s="246" t="s">
        <v>679</v>
      </c>
      <c r="H370" s="246" t="s">
        <v>1038</v>
      </c>
      <c r="I370" s="248" t="s">
        <v>1010</v>
      </c>
      <c r="J370" s="247">
        <v>14</v>
      </c>
      <c r="K370" s="247" t="str">
        <f>VLOOKUP(Ruimtestaat[[#This Row],[Ruimte code]],Ruimtegroepen[#All],2,FALSE)</f>
        <v>Praktijklokalen/kabinet</v>
      </c>
      <c r="L370" s="247" t="s">
        <v>677</v>
      </c>
      <c r="M370" s="249" t="s">
        <v>1200</v>
      </c>
      <c r="N370" s="200">
        <v>92</v>
      </c>
      <c r="O370" s="190"/>
      <c r="P370" s="231" t="str">
        <f>VLOOKUP(Ruimtestaat[[#This Row],[Ruimte code]],Ruimtegroepen[#All],4,FALSE)</f>
        <v>L  (Lesruimte)</v>
      </c>
      <c r="Q370" s="201"/>
      <c r="R370" s="202">
        <v>42</v>
      </c>
      <c r="S370" s="202" t="s">
        <v>2</v>
      </c>
      <c r="T370" s="202">
        <f>IF(R370&gt;0,IF(RIGHT(Ruimtestaat[[#This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70" s="202">
        <f>IF(T370&gt;0,VLOOKUP($J370,Ruimtegroepen[],3,FALSE)*VLOOKUP($L370,Vloersoorten[],3,FALSE)*VLOOKUP($S370,Frequenties[],3,FALSE)*VLOOKUP($A370,Locaties[],3,FALSE),0)</f>
        <v>0</v>
      </c>
      <c r="V370" s="202">
        <f>Ruimtestaat[[#This Row],[Uitvoeringen werkdagen]]*Ruimtestaat[[#This Row],[Oppervlak (netto)]]</f>
        <v>19320</v>
      </c>
      <c r="W370" s="242">
        <f>IF(U370&gt;0,Ruimtestaat[[#This Row],[Prest. (m2 /jaar) werkdagen]]/Ruimtestaat[[#This Row],[Norm (m2/uur) werkdagen]],0)</f>
        <v>0</v>
      </c>
      <c r="X370" s="243">
        <f>Ruimtestaat[[#This Row],[uren / jaar werkdagen]]*Tariefsopbouw!$D$38</f>
        <v>0</v>
      </c>
      <c r="Y370" s="33"/>
      <c r="Z370" s="33">
        <f>IF(Ruimtestaat[[#This Row],[Frequentie weekend]]&gt;0,VALUE(LEFT(Y370,1))*R370,0)</f>
        <v>0</v>
      </c>
      <c r="AA370" s="33">
        <f>IF($Z370&gt;0,VLOOKUP($J370,Ruimtegroepen[],3,FALSE)*VLOOKUP($L370,Vloersoorten[],3,FALSE)*VLOOKUP($Y370,Frequenties[],3,FALSE)*VLOOKUP(#REF!,Locaties[],3,FALSE),0)</f>
        <v>0</v>
      </c>
      <c r="AB370" s="33"/>
      <c r="AC370" s="33"/>
      <c r="AD370" s="33">
        <f>Ruimtestaat[[#This Row],[uren / jaar weekend]]*Tariefsopbouw!$D$40</f>
        <v>0</v>
      </c>
      <c r="AE370" s="86">
        <f>Ruimtestaat[[#This Row],[Prest. (m2 /jaar) weekend]]+Ruimtestaat[[#This Row],[Prest. (m2 /jaar) werkdagen]]</f>
        <v>19320</v>
      </c>
      <c r="AF370" s="86">
        <f>Ruimtestaat[[#This Row],[uren / jaar weekend]]+Ruimtestaat[[#This Row],[uren / jaar werkdagen]]</f>
        <v>0</v>
      </c>
      <c r="AG370" s="87">
        <f>Ruimtestaat[[#This Row],[kosten / jaar weekend]]+Ruimtestaat[[#This Row],[kosten / jaar werkdagen]]</f>
        <v>0</v>
      </c>
    </row>
    <row r="371" spans="1:33" ht="15" customHeight="1">
      <c r="A371" s="187">
        <v>4</v>
      </c>
      <c r="B371" s="21" t="str">
        <f>VLOOKUP(Ruimtestaat[[#This Row],[Code]],Locaties[#All],2,FALSE)</f>
        <v xml:space="preserve">Lyceumstraat </v>
      </c>
      <c r="C371" s="247" t="str">
        <f>VLOOKUP(Ruimtestaat[[#This Row],[Code]],Locaties[#All],4,FALSE)</f>
        <v>Lyceumstraat 36</v>
      </c>
      <c r="D371" s="247" t="str">
        <f>VLOOKUP(Ruimtestaat[[#This Row],[Code]],Locaties[#All],5,FALSE)</f>
        <v>7572 CR</v>
      </c>
      <c r="E371" s="187" t="str">
        <f>VLOOKUP(Ruimtestaat[[#This Row],[Code]],Locaties[#All],6,FALSE)</f>
        <v>Oldenzaal</v>
      </c>
      <c r="F371" s="248"/>
      <c r="G371" s="246" t="s">
        <v>679</v>
      </c>
      <c r="H371" s="246" t="s">
        <v>1039</v>
      </c>
      <c r="I371" s="248" t="s">
        <v>1010</v>
      </c>
      <c r="J371" s="247">
        <v>14</v>
      </c>
      <c r="K371" s="247" t="str">
        <f>VLOOKUP(Ruimtestaat[[#This Row],[Ruimte code]],Ruimtegroepen[#All],2,FALSE)</f>
        <v>Praktijklokalen/kabinet</v>
      </c>
      <c r="L371" s="247" t="s">
        <v>677</v>
      </c>
      <c r="M371" s="249" t="s">
        <v>1200</v>
      </c>
      <c r="N371" s="200">
        <v>90</v>
      </c>
      <c r="O371" s="190"/>
      <c r="P371" s="231" t="str">
        <f>VLOOKUP(Ruimtestaat[[#This Row],[Ruimte code]],Ruimtegroepen[#All],4,FALSE)</f>
        <v>L  (Lesruimte)</v>
      </c>
      <c r="Q371" s="201"/>
      <c r="R371" s="202">
        <v>42</v>
      </c>
      <c r="S371" s="202" t="s">
        <v>2</v>
      </c>
      <c r="T371" s="202">
        <f>IF(R371&gt;0,IF(RIGHT(Ruimtestaat[[#This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71" s="202">
        <f>IF(T371&gt;0,VLOOKUP($J371,Ruimtegroepen[],3,FALSE)*VLOOKUP($L371,Vloersoorten[],3,FALSE)*VLOOKUP($S371,Frequenties[],3,FALSE)*VLOOKUP($A371,Locaties[],3,FALSE),0)</f>
        <v>0</v>
      </c>
      <c r="V371" s="202">
        <f>Ruimtestaat[[#This Row],[Uitvoeringen werkdagen]]*Ruimtestaat[[#This Row],[Oppervlak (netto)]]</f>
        <v>18900</v>
      </c>
      <c r="W371" s="242">
        <f>IF(U371&gt;0,Ruimtestaat[[#This Row],[Prest. (m2 /jaar) werkdagen]]/Ruimtestaat[[#This Row],[Norm (m2/uur) werkdagen]],0)</f>
        <v>0</v>
      </c>
      <c r="X371" s="243">
        <f>Ruimtestaat[[#This Row],[uren / jaar werkdagen]]*Tariefsopbouw!$D$38</f>
        <v>0</v>
      </c>
      <c r="Y371" s="33"/>
      <c r="Z371" s="33">
        <f>IF(Ruimtestaat[[#This Row],[Frequentie weekend]]&gt;0,VALUE(LEFT(Y371,1))*R371,0)</f>
        <v>0</v>
      </c>
      <c r="AA371" s="33">
        <f>IF($Z371&gt;0,VLOOKUP($J371,Ruimtegroepen[],3,FALSE)*VLOOKUP($L371,Vloersoorten[],3,FALSE)*VLOOKUP($Y371,Frequenties[],3,FALSE)*VLOOKUP(#REF!,Locaties[],3,FALSE),0)</f>
        <v>0</v>
      </c>
      <c r="AB371" s="33"/>
      <c r="AC371" s="33"/>
      <c r="AD371" s="33">
        <f>Ruimtestaat[[#This Row],[uren / jaar weekend]]*Tariefsopbouw!$D$40</f>
        <v>0</v>
      </c>
      <c r="AE371" s="86">
        <f>Ruimtestaat[[#This Row],[Prest. (m2 /jaar) weekend]]+Ruimtestaat[[#This Row],[Prest. (m2 /jaar) werkdagen]]</f>
        <v>18900</v>
      </c>
      <c r="AF371" s="86">
        <f>Ruimtestaat[[#This Row],[uren / jaar weekend]]+Ruimtestaat[[#This Row],[uren / jaar werkdagen]]</f>
        <v>0</v>
      </c>
      <c r="AG371" s="87">
        <f>Ruimtestaat[[#This Row],[kosten / jaar weekend]]+Ruimtestaat[[#This Row],[kosten / jaar werkdagen]]</f>
        <v>0</v>
      </c>
    </row>
    <row r="372" spans="1:33" ht="15" customHeight="1">
      <c r="A372" s="187">
        <v>4</v>
      </c>
      <c r="B372" s="21" t="str">
        <f>VLOOKUP(Ruimtestaat[[#This Row],[Code]],Locaties[#All],2,FALSE)</f>
        <v xml:space="preserve">Lyceumstraat </v>
      </c>
      <c r="C372" s="247" t="str">
        <f>VLOOKUP(Ruimtestaat[[#This Row],[Code]],Locaties[#All],4,FALSE)</f>
        <v>Lyceumstraat 36</v>
      </c>
      <c r="D372" s="247" t="str">
        <f>VLOOKUP(Ruimtestaat[[#This Row],[Code]],Locaties[#All],5,FALSE)</f>
        <v>7572 CR</v>
      </c>
      <c r="E372" s="187" t="str">
        <f>VLOOKUP(Ruimtestaat[[#This Row],[Code]],Locaties[#All],6,FALSE)</f>
        <v>Oldenzaal</v>
      </c>
      <c r="F372" s="248"/>
      <c r="G372" s="246" t="s">
        <v>679</v>
      </c>
      <c r="H372" s="246" t="s">
        <v>1040</v>
      </c>
      <c r="I372" s="248" t="s">
        <v>1010</v>
      </c>
      <c r="J372" s="247">
        <v>14</v>
      </c>
      <c r="K372" s="247" t="str">
        <f>VLOOKUP(Ruimtestaat[[#This Row],[Ruimte code]],Ruimtegroepen[#All],2,FALSE)</f>
        <v>Praktijklokalen/kabinet</v>
      </c>
      <c r="L372" s="247" t="s">
        <v>677</v>
      </c>
      <c r="M372" s="249" t="s">
        <v>1200</v>
      </c>
      <c r="N372" s="200">
        <v>85</v>
      </c>
      <c r="O372" s="190"/>
      <c r="P372" s="231" t="str">
        <f>VLOOKUP(Ruimtestaat[[#This Row],[Ruimte code]],Ruimtegroepen[#All],4,FALSE)</f>
        <v>L  (Lesruimte)</v>
      </c>
      <c r="Q372" s="201"/>
      <c r="R372" s="202">
        <v>42</v>
      </c>
      <c r="S372" s="202" t="s">
        <v>2</v>
      </c>
      <c r="T372" s="202">
        <f>IF(R372&gt;0,IF(RIGHT(Ruimtestaat[[#This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72" s="202">
        <f>IF(T372&gt;0,VLOOKUP($J372,Ruimtegroepen[],3,FALSE)*VLOOKUP($L372,Vloersoorten[],3,FALSE)*VLOOKUP($S372,Frequenties[],3,FALSE)*VLOOKUP($A372,Locaties[],3,FALSE),0)</f>
        <v>0</v>
      </c>
      <c r="V372" s="202">
        <f>Ruimtestaat[[#This Row],[Uitvoeringen werkdagen]]*Ruimtestaat[[#This Row],[Oppervlak (netto)]]</f>
        <v>17850</v>
      </c>
      <c r="W372" s="242">
        <f>IF(U372&gt;0,Ruimtestaat[[#This Row],[Prest. (m2 /jaar) werkdagen]]/Ruimtestaat[[#This Row],[Norm (m2/uur) werkdagen]],0)</f>
        <v>0</v>
      </c>
      <c r="X372" s="243">
        <f>Ruimtestaat[[#This Row],[uren / jaar werkdagen]]*Tariefsopbouw!$D$38</f>
        <v>0</v>
      </c>
      <c r="Y372" s="33"/>
      <c r="Z372" s="33">
        <f>IF(Ruimtestaat[[#This Row],[Frequentie weekend]]&gt;0,VALUE(LEFT(Y372,1))*R372,0)</f>
        <v>0</v>
      </c>
      <c r="AA372" s="33">
        <f>IF($Z372&gt;0,VLOOKUP($J372,Ruimtegroepen[],3,FALSE)*VLOOKUP($L372,Vloersoorten[],3,FALSE)*VLOOKUP($Y372,Frequenties[],3,FALSE)*VLOOKUP(#REF!,Locaties[],3,FALSE),0)</f>
        <v>0</v>
      </c>
      <c r="AB372" s="33"/>
      <c r="AC372" s="33"/>
      <c r="AD372" s="33">
        <f>Ruimtestaat[[#This Row],[uren / jaar weekend]]*Tariefsopbouw!$D$40</f>
        <v>0</v>
      </c>
      <c r="AE372" s="86">
        <f>Ruimtestaat[[#This Row],[Prest. (m2 /jaar) weekend]]+Ruimtestaat[[#This Row],[Prest. (m2 /jaar) werkdagen]]</f>
        <v>17850</v>
      </c>
      <c r="AF372" s="86">
        <f>Ruimtestaat[[#This Row],[uren / jaar weekend]]+Ruimtestaat[[#This Row],[uren / jaar werkdagen]]</f>
        <v>0</v>
      </c>
      <c r="AG372" s="87">
        <f>Ruimtestaat[[#This Row],[kosten / jaar weekend]]+Ruimtestaat[[#This Row],[kosten / jaar werkdagen]]</f>
        <v>0</v>
      </c>
    </row>
    <row r="373" spans="1:33" ht="15" customHeight="1">
      <c r="A373" s="187">
        <v>4</v>
      </c>
      <c r="B373" s="21" t="str">
        <f>VLOOKUP(Ruimtestaat[[#This Row],[Code]],Locaties[#All],2,FALSE)</f>
        <v xml:space="preserve">Lyceumstraat </v>
      </c>
      <c r="C373" s="247" t="str">
        <f>VLOOKUP(Ruimtestaat[[#This Row],[Code]],Locaties[#All],4,FALSE)</f>
        <v>Lyceumstraat 36</v>
      </c>
      <c r="D373" s="247" t="str">
        <f>VLOOKUP(Ruimtestaat[[#This Row],[Code]],Locaties[#All],5,FALSE)</f>
        <v>7572 CR</v>
      </c>
      <c r="E373" s="187" t="str">
        <f>VLOOKUP(Ruimtestaat[[#This Row],[Code]],Locaties[#All],6,FALSE)</f>
        <v>Oldenzaal</v>
      </c>
      <c r="F373" s="248"/>
      <c r="G373" s="246" t="s">
        <v>679</v>
      </c>
      <c r="H373" s="246" t="s">
        <v>1041</v>
      </c>
      <c r="I373" s="248" t="s">
        <v>591</v>
      </c>
      <c r="J373" s="247">
        <v>5</v>
      </c>
      <c r="K373" s="247" t="str">
        <f>VLOOKUP(Ruimtestaat[[#This Row],[Ruimte code]],Ruimtegroepen[#All],2,FALSE)</f>
        <v>Sanitair</v>
      </c>
      <c r="L373" s="247" t="s">
        <v>677</v>
      </c>
      <c r="M373" s="249" t="s">
        <v>1200</v>
      </c>
      <c r="N373" s="200">
        <v>21</v>
      </c>
      <c r="O373" s="190"/>
      <c r="P373" s="231" t="str">
        <f>VLOOKUP(Ruimtestaat[[#This Row],[Ruimte code]],Ruimtegroepen[#All],4,FALSE)</f>
        <v>S  (Sanitair)</v>
      </c>
      <c r="Q373" s="201"/>
      <c r="R373" s="202">
        <v>42</v>
      </c>
      <c r="S373" s="202" t="s">
        <v>19</v>
      </c>
      <c r="T373" s="202">
        <f>IF(R373&gt;0,IF(RIGHT(Ruimtestaat[[#This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373" s="202">
        <f>IF(T373&gt;0,VLOOKUP($J373,Ruimtegroepen[],3,FALSE)*VLOOKUP($L373,Vloersoorten[],3,FALSE)*VLOOKUP($S373,Frequenties[],3,FALSE)*VLOOKUP($A373,Locaties[],3,FALSE),0)</f>
        <v>0</v>
      </c>
      <c r="V373" s="202">
        <f>Ruimtestaat[[#This Row],[Uitvoeringen werkdagen]]*Ruimtestaat[[#This Row],[Oppervlak (netto)]]</f>
        <v>8820</v>
      </c>
      <c r="W373" s="242">
        <f>IF(U373&gt;0,Ruimtestaat[[#This Row],[Prest. (m2 /jaar) werkdagen]]/Ruimtestaat[[#This Row],[Norm (m2/uur) werkdagen]],0)</f>
        <v>0</v>
      </c>
      <c r="X373" s="243">
        <f>Ruimtestaat[[#This Row],[uren / jaar werkdagen]]*Tariefsopbouw!$D$38</f>
        <v>0</v>
      </c>
      <c r="Y373" s="33"/>
      <c r="Z373" s="33">
        <f>IF(Ruimtestaat[[#This Row],[Frequentie weekend]]&gt;0,VALUE(LEFT(Y373,1))*R373,0)</f>
        <v>0</v>
      </c>
      <c r="AA373" s="33">
        <f>IF($Z373&gt;0,VLOOKUP($J373,Ruimtegroepen[],3,FALSE)*VLOOKUP($L373,Vloersoorten[],3,FALSE)*VLOOKUP($Y373,Frequenties[],3,FALSE)*VLOOKUP(#REF!,Locaties[],3,FALSE),0)</f>
        <v>0</v>
      </c>
      <c r="AB373" s="33"/>
      <c r="AC373" s="33"/>
      <c r="AD373" s="33">
        <f>Ruimtestaat[[#This Row],[uren / jaar weekend]]*Tariefsopbouw!$D$40</f>
        <v>0</v>
      </c>
      <c r="AE373" s="86">
        <f>Ruimtestaat[[#This Row],[Prest. (m2 /jaar) weekend]]+Ruimtestaat[[#This Row],[Prest. (m2 /jaar) werkdagen]]</f>
        <v>8820</v>
      </c>
      <c r="AF373" s="86">
        <f>Ruimtestaat[[#This Row],[uren / jaar weekend]]+Ruimtestaat[[#This Row],[uren / jaar werkdagen]]</f>
        <v>0</v>
      </c>
      <c r="AG373" s="87">
        <f>Ruimtestaat[[#This Row],[kosten / jaar weekend]]+Ruimtestaat[[#This Row],[kosten / jaar werkdagen]]</f>
        <v>0</v>
      </c>
    </row>
    <row r="374" spans="1:33" ht="15" customHeight="1">
      <c r="A374" s="187">
        <v>4</v>
      </c>
      <c r="B374" s="21" t="str">
        <f>VLOOKUP(Ruimtestaat[[#This Row],[Code]],Locaties[#All],2,FALSE)</f>
        <v xml:space="preserve">Lyceumstraat </v>
      </c>
      <c r="C374" s="247" t="str">
        <f>VLOOKUP(Ruimtestaat[[#This Row],[Code]],Locaties[#All],4,FALSE)</f>
        <v>Lyceumstraat 36</v>
      </c>
      <c r="D374" s="247" t="str">
        <f>VLOOKUP(Ruimtestaat[[#This Row],[Code]],Locaties[#All],5,FALSE)</f>
        <v>7572 CR</v>
      </c>
      <c r="E374" s="187" t="str">
        <f>VLOOKUP(Ruimtestaat[[#This Row],[Code]],Locaties[#All],6,FALSE)</f>
        <v>Oldenzaal</v>
      </c>
      <c r="F374" s="248"/>
      <c r="G374" s="246" t="s">
        <v>679</v>
      </c>
      <c r="H374" s="246" t="s">
        <v>1042</v>
      </c>
      <c r="I374" s="248" t="s">
        <v>608</v>
      </c>
      <c r="J374" s="187">
        <v>5</v>
      </c>
      <c r="K374" s="187" t="str">
        <f>VLOOKUP(Ruimtestaat[[#This Row],[Ruimte code]],Ruimtegroepen[#All],2,FALSE)</f>
        <v>Sanitair</v>
      </c>
      <c r="L374" s="247" t="s">
        <v>677</v>
      </c>
      <c r="M374" s="249" t="s">
        <v>1200</v>
      </c>
      <c r="N374" s="200">
        <v>30</v>
      </c>
      <c r="O374" s="190"/>
      <c r="P374" s="231" t="str">
        <f>VLOOKUP(Ruimtestaat[[#This Row],[Ruimte code]],Ruimtegroepen[#All],4,FALSE)</f>
        <v>S  (Sanitair)</v>
      </c>
      <c r="Q374" s="201"/>
      <c r="R374" s="202">
        <v>42</v>
      </c>
      <c r="S374" s="202" t="s">
        <v>19</v>
      </c>
      <c r="T374" s="202">
        <f>IF(R374&gt;0,IF(RIGHT(Ruimtestaat[[#This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374" s="202">
        <f>IF(T374&gt;0,VLOOKUP($J374,Ruimtegroepen[],3,FALSE)*VLOOKUP($L374,Vloersoorten[],3,FALSE)*VLOOKUP($S374,Frequenties[],3,FALSE)*VLOOKUP($A374,Locaties[],3,FALSE),0)</f>
        <v>0</v>
      </c>
      <c r="V374" s="202">
        <f>Ruimtestaat[[#This Row],[Uitvoeringen werkdagen]]*Ruimtestaat[[#This Row],[Oppervlak (netto)]]</f>
        <v>12600</v>
      </c>
      <c r="W374" s="242">
        <f>IF(U374&gt;0,Ruimtestaat[[#This Row],[Prest. (m2 /jaar) werkdagen]]/Ruimtestaat[[#This Row],[Norm (m2/uur) werkdagen]],0)</f>
        <v>0</v>
      </c>
      <c r="X374" s="243">
        <f>Ruimtestaat[[#This Row],[uren / jaar werkdagen]]*Tariefsopbouw!$D$38</f>
        <v>0</v>
      </c>
      <c r="Y374" s="33"/>
      <c r="Z374" s="33">
        <f>IF(Ruimtestaat[[#This Row],[Frequentie weekend]]&gt;0,VALUE(LEFT(Y374,1))*R374,0)</f>
        <v>0</v>
      </c>
      <c r="AA374" s="33">
        <f>IF($Z374&gt;0,VLOOKUP($J374,Ruimtegroepen[],3,FALSE)*VLOOKUP($L374,Vloersoorten[],3,FALSE)*VLOOKUP($Y374,Frequenties[],3,FALSE)*VLOOKUP(#REF!,Locaties[],3,FALSE),0)</f>
        <v>0</v>
      </c>
      <c r="AB374" s="33"/>
      <c r="AC374" s="33"/>
      <c r="AD374" s="33">
        <f>Ruimtestaat[[#This Row],[uren / jaar weekend]]*Tariefsopbouw!$D$40</f>
        <v>0</v>
      </c>
      <c r="AE374" s="86">
        <f>Ruimtestaat[[#This Row],[Prest. (m2 /jaar) weekend]]+Ruimtestaat[[#This Row],[Prest. (m2 /jaar) werkdagen]]</f>
        <v>12600</v>
      </c>
      <c r="AF374" s="86">
        <f>Ruimtestaat[[#This Row],[uren / jaar weekend]]+Ruimtestaat[[#This Row],[uren / jaar werkdagen]]</f>
        <v>0</v>
      </c>
      <c r="AG374" s="87">
        <f>Ruimtestaat[[#This Row],[kosten / jaar weekend]]+Ruimtestaat[[#This Row],[kosten / jaar werkdagen]]</f>
        <v>0</v>
      </c>
    </row>
    <row r="375" spans="1:33" ht="15" customHeight="1">
      <c r="A375" s="187">
        <v>4</v>
      </c>
      <c r="B375" s="21" t="str">
        <f>VLOOKUP(Ruimtestaat[[#This Row],[Code]],Locaties[#All],2,FALSE)</f>
        <v xml:space="preserve">Lyceumstraat </v>
      </c>
      <c r="C375" s="247" t="str">
        <f>VLOOKUP(Ruimtestaat[[#This Row],[Code]],Locaties[#All],4,FALSE)</f>
        <v>Lyceumstraat 36</v>
      </c>
      <c r="D375" s="247" t="str">
        <f>VLOOKUP(Ruimtestaat[[#This Row],[Code]],Locaties[#All],5,FALSE)</f>
        <v>7572 CR</v>
      </c>
      <c r="E375" s="187" t="str">
        <f>VLOOKUP(Ruimtestaat[[#This Row],[Code]],Locaties[#All],6,FALSE)</f>
        <v>Oldenzaal</v>
      </c>
      <c r="F375" s="248"/>
      <c r="G375" s="246" t="s">
        <v>679</v>
      </c>
      <c r="H375" s="246" t="s">
        <v>1043</v>
      </c>
      <c r="I375" s="248" t="s">
        <v>500</v>
      </c>
      <c r="J375" s="187">
        <v>10</v>
      </c>
      <c r="K375" s="187" t="str">
        <f>VLOOKUP(Ruimtestaat[[#This Row],[Ruimte code]],Ruimtegroepen[#All],2,FALSE)</f>
        <v>Trappenhuizen/lift</v>
      </c>
      <c r="L375" s="202" t="s">
        <v>108</v>
      </c>
      <c r="M375" s="249" t="s">
        <v>1201</v>
      </c>
      <c r="N375" s="200">
        <v>30</v>
      </c>
      <c r="O375" s="190"/>
      <c r="P375" s="231" t="str">
        <f>VLOOKUP(Ruimtestaat[[#This Row],[Ruimte code]],Ruimtegroepen[#All],4,FALSE)</f>
        <v>V  (Verkeersruimte)</v>
      </c>
      <c r="Q375" s="201"/>
      <c r="R375" s="202">
        <v>42</v>
      </c>
      <c r="S375" s="202" t="s">
        <v>2</v>
      </c>
      <c r="T375" s="202">
        <f>IF(R375&gt;0,IF(RIGHT(Ruimtestaat[[#This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75" s="202">
        <f>IF(T375&gt;0,VLOOKUP($J375,Ruimtegroepen[],3,FALSE)*VLOOKUP($L375,Vloersoorten[],3,FALSE)*VLOOKUP($S375,Frequenties[],3,FALSE)*VLOOKUP($A375,Locaties[],3,FALSE),0)</f>
        <v>0</v>
      </c>
      <c r="V375" s="202">
        <f>Ruimtestaat[[#This Row],[Uitvoeringen werkdagen]]*Ruimtestaat[[#This Row],[Oppervlak (netto)]]</f>
        <v>6300</v>
      </c>
      <c r="W375" s="242">
        <f>IF(U375&gt;0,Ruimtestaat[[#This Row],[Prest. (m2 /jaar) werkdagen]]/Ruimtestaat[[#This Row],[Norm (m2/uur) werkdagen]],0)</f>
        <v>0</v>
      </c>
      <c r="X375" s="243">
        <f>Ruimtestaat[[#This Row],[uren / jaar werkdagen]]*Tariefsopbouw!$D$38</f>
        <v>0</v>
      </c>
      <c r="Y375" s="33"/>
      <c r="Z375" s="33">
        <f>IF(Ruimtestaat[[#This Row],[Frequentie weekend]]&gt;0,VALUE(LEFT(Y375,1))*R375,0)</f>
        <v>0</v>
      </c>
      <c r="AA375" s="33">
        <f>IF($Z375&gt;0,VLOOKUP($J375,Ruimtegroepen[],3,FALSE)*VLOOKUP($L375,Vloersoorten[],3,FALSE)*VLOOKUP($Y375,Frequenties[],3,FALSE)*VLOOKUP(#REF!,Locaties[],3,FALSE),0)</f>
        <v>0</v>
      </c>
      <c r="AB375" s="33"/>
      <c r="AC375" s="33"/>
      <c r="AD375" s="33">
        <f>Ruimtestaat[[#This Row],[uren / jaar weekend]]*Tariefsopbouw!$D$40</f>
        <v>0</v>
      </c>
      <c r="AE375" s="86">
        <f>Ruimtestaat[[#This Row],[Prest. (m2 /jaar) weekend]]+Ruimtestaat[[#This Row],[Prest. (m2 /jaar) werkdagen]]</f>
        <v>6300</v>
      </c>
      <c r="AF375" s="86">
        <f>Ruimtestaat[[#This Row],[uren / jaar weekend]]+Ruimtestaat[[#This Row],[uren / jaar werkdagen]]</f>
        <v>0</v>
      </c>
      <c r="AG375" s="87">
        <f>Ruimtestaat[[#This Row],[kosten / jaar weekend]]+Ruimtestaat[[#This Row],[kosten / jaar werkdagen]]</f>
        <v>0</v>
      </c>
    </row>
    <row r="376" spans="1:33" ht="15" customHeight="1">
      <c r="A376" s="187">
        <v>4</v>
      </c>
      <c r="B376" s="21" t="str">
        <f>VLOOKUP(Ruimtestaat[[#This Row],[Code]],Locaties[#All],2,FALSE)</f>
        <v xml:space="preserve">Lyceumstraat </v>
      </c>
      <c r="C376" s="247" t="str">
        <f>VLOOKUP(Ruimtestaat[[#This Row],[Code]],Locaties[#All],4,FALSE)</f>
        <v>Lyceumstraat 36</v>
      </c>
      <c r="D376" s="247" t="str">
        <f>VLOOKUP(Ruimtestaat[[#This Row],[Code]],Locaties[#All],5,FALSE)</f>
        <v>7572 CR</v>
      </c>
      <c r="E376" s="187" t="str">
        <f>VLOOKUP(Ruimtestaat[[#This Row],[Code]],Locaties[#All],6,FALSE)</f>
        <v>Oldenzaal</v>
      </c>
      <c r="F376" s="248"/>
      <c r="G376" s="246" t="s">
        <v>679</v>
      </c>
      <c r="H376" s="246" t="s">
        <v>1044</v>
      </c>
      <c r="I376" s="248" t="s">
        <v>500</v>
      </c>
      <c r="J376" s="187">
        <v>10</v>
      </c>
      <c r="K376" s="187" t="str">
        <f>VLOOKUP(Ruimtestaat[[#This Row],[Ruimte code]],Ruimtegroepen[#All],2,FALSE)</f>
        <v>Trappenhuizen/lift</v>
      </c>
      <c r="L376" s="202" t="s">
        <v>108</v>
      </c>
      <c r="M376" s="249" t="s">
        <v>1201</v>
      </c>
      <c r="N376" s="200">
        <v>30</v>
      </c>
      <c r="O376" s="190"/>
      <c r="P376" s="231" t="str">
        <f>VLOOKUP(Ruimtestaat[[#This Row],[Ruimte code]],Ruimtegroepen[#All],4,FALSE)</f>
        <v>V  (Verkeersruimte)</v>
      </c>
      <c r="Q376" s="201"/>
      <c r="R376" s="202">
        <v>42</v>
      </c>
      <c r="S376" s="202" t="s">
        <v>2</v>
      </c>
      <c r="T376" s="202">
        <f>IF(R376&gt;0,IF(RIGHT(Ruimtestaat[[#This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76" s="202">
        <f>IF(T376&gt;0,VLOOKUP($J376,Ruimtegroepen[],3,FALSE)*VLOOKUP($L376,Vloersoorten[],3,FALSE)*VLOOKUP($S376,Frequenties[],3,FALSE)*VLOOKUP($A376,Locaties[],3,FALSE),0)</f>
        <v>0</v>
      </c>
      <c r="V376" s="202">
        <f>Ruimtestaat[[#This Row],[Uitvoeringen werkdagen]]*Ruimtestaat[[#This Row],[Oppervlak (netto)]]</f>
        <v>6300</v>
      </c>
      <c r="W376" s="242">
        <f>IF(U376&gt;0,Ruimtestaat[[#This Row],[Prest. (m2 /jaar) werkdagen]]/Ruimtestaat[[#This Row],[Norm (m2/uur) werkdagen]],0)</f>
        <v>0</v>
      </c>
      <c r="X376" s="243">
        <f>Ruimtestaat[[#This Row],[uren / jaar werkdagen]]*Tariefsopbouw!$D$38</f>
        <v>0</v>
      </c>
      <c r="Y376" s="33"/>
      <c r="Z376" s="33">
        <f>IF(Ruimtestaat[[#This Row],[Frequentie weekend]]&gt;0,VALUE(LEFT(Y376,1))*R376,0)</f>
        <v>0</v>
      </c>
      <c r="AA376" s="33">
        <f>IF($Z376&gt;0,VLOOKUP($J376,Ruimtegroepen[],3,FALSE)*VLOOKUP($L376,Vloersoorten[],3,FALSE)*VLOOKUP($Y376,Frequenties[],3,FALSE)*VLOOKUP(#REF!,Locaties[],3,FALSE),0)</f>
        <v>0</v>
      </c>
      <c r="AB376" s="33"/>
      <c r="AC376" s="33"/>
      <c r="AD376" s="33">
        <f>Ruimtestaat[[#This Row],[uren / jaar weekend]]*Tariefsopbouw!$D$40</f>
        <v>0</v>
      </c>
      <c r="AE376" s="86">
        <f>Ruimtestaat[[#This Row],[Prest. (m2 /jaar) weekend]]+Ruimtestaat[[#This Row],[Prest. (m2 /jaar) werkdagen]]</f>
        <v>6300</v>
      </c>
      <c r="AF376" s="86">
        <f>Ruimtestaat[[#This Row],[uren / jaar weekend]]+Ruimtestaat[[#This Row],[uren / jaar werkdagen]]</f>
        <v>0</v>
      </c>
      <c r="AG376" s="87">
        <f>Ruimtestaat[[#This Row],[kosten / jaar weekend]]+Ruimtestaat[[#This Row],[kosten / jaar werkdagen]]</f>
        <v>0</v>
      </c>
    </row>
    <row r="377" spans="1:33" ht="15" customHeight="1">
      <c r="A377" s="187">
        <v>4</v>
      </c>
      <c r="B377" s="21" t="str">
        <f>VLOOKUP(Ruimtestaat[[#This Row],[Code]],Locaties[#All],2,FALSE)</f>
        <v xml:space="preserve">Lyceumstraat </v>
      </c>
      <c r="C377" s="247" t="str">
        <f>VLOOKUP(Ruimtestaat[[#This Row],[Code]],Locaties[#All],4,FALSE)</f>
        <v>Lyceumstraat 36</v>
      </c>
      <c r="D377" s="247" t="str">
        <f>VLOOKUP(Ruimtestaat[[#This Row],[Code]],Locaties[#All],5,FALSE)</f>
        <v>7572 CR</v>
      </c>
      <c r="E377" s="187" t="str">
        <f>VLOOKUP(Ruimtestaat[[#This Row],[Code]],Locaties[#All],6,FALSE)</f>
        <v>Oldenzaal</v>
      </c>
      <c r="F377" s="248"/>
      <c r="G377" s="246" t="s">
        <v>679</v>
      </c>
      <c r="H377" s="246" t="s">
        <v>1045</v>
      </c>
      <c r="I377" s="248" t="s">
        <v>596</v>
      </c>
      <c r="J377" s="187">
        <v>10</v>
      </c>
      <c r="K377" s="187" t="str">
        <f>VLOOKUP(Ruimtestaat[[#This Row],[Ruimte code]],Ruimtegroepen[#All],2,FALSE)</f>
        <v>Trappenhuizen/lift</v>
      </c>
      <c r="L377" s="202" t="s">
        <v>108</v>
      </c>
      <c r="M377" s="249" t="s">
        <v>1201</v>
      </c>
      <c r="N377" s="200">
        <v>25</v>
      </c>
      <c r="O377" s="190"/>
      <c r="P377" s="231" t="str">
        <f>VLOOKUP(Ruimtestaat[[#This Row],[Ruimte code]],Ruimtegroepen[#All],4,FALSE)</f>
        <v>V  (Verkeersruimte)</v>
      </c>
      <c r="Q377" s="201"/>
      <c r="R377" s="202">
        <v>42</v>
      </c>
      <c r="S377" s="202" t="s">
        <v>2</v>
      </c>
      <c r="T377" s="202">
        <f>IF(R377&gt;0,IF(RIGHT(Ruimtestaat[[#This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77" s="202">
        <f>IF(T377&gt;0,VLOOKUP($J377,Ruimtegroepen[],3,FALSE)*VLOOKUP($L377,Vloersoorten[],3,FALSE)*VLOOKUP($S377,Frequenties[],3,FALSE)*VLOOKUP($A377,Locaties[],3,FALSE),0)</f>
        <v>0</v>
      </c>
      <c r="V377" s="202">
        <f>Ruimtestaat[[#This Row],[Uitvoeringen werkdagen]]*Ruimtestaat[[#This Row],[Oppervlak (netto)]]</f>
        <v>5250</v>
      </c>
      <c r="W377" s="242">
        <f>IF(U377&gt;0,Ruimtestaat[[#This Row],[Prest. (m2 /jaar) werkdagen]]/Ruimtestaat[[#This Row],[Norm (m2/uur) werkdagen]],0)</f>
        <v>0</v>
      </c>
      <c r="X377" s="243">
        <f>Ruimtestaat[[#This Row],[uren / jaar werkdagen]]*Tariefsopbouw!$D$38</f>
        <v>0</v>
      </c>
      <c r="Y377" s="33"/>
      <c r="Z377" s="33">
        <f>IF(Ruimtestaat[[#This Row],[Frequentie weekend]]&gt;0,VALUE(LEFT(Y377,1))*R377,0)</f>
        <v>0</v>
      </c>
      <c r="AA377" s="33">
        <f>IF($Z377&gt;0,VLOOKUP($J377,Ruimtegroepen[],3,FALSE)*VLOOKUP($L377,Vloersoorten[],3,FALSE)*VLOOKUP($Y377,Frequenties[],3,FALSE)*VLOOKUP(#REF!,Locaties[],3,FALSE),0)</f>
        <v>0</v>
      </c>
      <c r="AB377" s="33"/>
      <c r="AC377" s="33"/>
      <c r="AD377" s="33">
        <f>Ruimtestaat[[#This Row],[uren / jaar weekend]]*Tariefsopbouw!$D$40</f>
        <v>0</v>
      </c>
      <c r="AE377" s="86">
        <f>Ruimtestaat[[#This Row],[Prest. (m2 /jaar) weekend]]+Ruimtestaat[[#This Row],[Prest. (m2 /jaar) werkdagen]]</f>
        <v>5250</v>
      </c>
      <c r="AF377" s="86">
        <f>Ruimtestaat[[#This Row],[uren / jaar weekend]]+Ruimtestaat[[#This Row],[uren / jaar werkdagen]]</f>
        <v>0</v>
      </c>
      <c r="AG377" s="87">
        <f>Ruimtestaat[[#This Row],[kosten / jaar weekend]]+Ruimtestaat[[#This Row],[kosten / jaar werkdagen]]</f>
        <v>0</v>
      </c>
    </row>
    <row r="378" spans="1:33" ht="15" customHeight="1">
      <c r="A378" s="187">
        <v>4</v>
      </c>
      <c r="B378" s="21" t="str">
        <f>VLOOKUP(Ruimtestaat[[#This Row],[Code]],Locaties[#All],2,FALSE)</f>
        <v xml:space="preserve">Lyceumstraat </v>
      </c>
      <c r="C378" s="247" t="str">
        <f>VLOOKUP(Ruimtestaat[[#This Row],[Code]],Locaties[#All],4,FALSE)</f>
        <v>Lyceumstraat 36</v>
      </c>
      <c r="D378" s="247" t="str">
        <f>VLOOKUP(Ruimtestaat[[#This Row],[Code]],Locaties[#All],5,FALSE)</f>
        <v>7572 CR</v>
      </c>
      <c r="E378" s="187" t="str">
        <f>VLOOKUP(Ruimtestaat[[#This Row],[Code]],Locaties[#All],6,FALSE)</f>
        <v>Oldenzaal</v>
      </c>
      <c r="F378" s="248"/>
      <c r="G378" s="246" t="s">
        <v>679</v>
      </c>
      <c r="H378" s="246" t="s">
        <v>1046</v>
      </c>
      <c r="I378" s="248" t="s">
        <v>414</v>
      </c>
      <c r="J378" s="187">
        <v>6</v>
      </c>
      <c r="K378" s="187" t="str">
        <f>VLOOKUP(Ruimtestaat[[#This Row],[Ruimte code]],Ruimtegroepen[#All],2,FALSE)</f>
        <v>Gangen/hallen</v>
      </c>
      <c r="L378" s="202" t="s">
        <v>108</v>
      </c>
      <c r="M378" s="249" t="s">
        <v>1201</v>
      </c>
      <c r="N378" s="200">
        <v>25</v>
      </c>
      <c r="O378" s="190"/>
      <c r="P378" s="231" t="str">
        <f>VLOOKUP(Ruimtestaat[[#This Row],[Ruimte code]],Ruimtegroepen[#All],4,FALSE)</f>
        <v>V  (Verkeersruimte)</v>
      </c>
      <c r="Q378" s="201"/>
      <c r="R378" s="202">
        <v>42</v>
      </c>
      <c r="S378" s="202" t="s">
        <v>2</v>
      </c>
      <c r="T378" s="202">
        <f>IF(R378&gt;0,IF(RIGHT(Ruimtestaat[[#This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78" s="202">
        <f>IF(T378&gt;0,VLOOKUP($J378,Ruimtegroepen[],3,FALSE)*VLOOKUP($L378,Vloersoorten[],3,FALSE)*VLOOKUP($S378,Frequenties[],3,FALSE)*VLOOKUP($A378,Locaties[],3,FALSE),0)</f>
        <v>0</v>
      </c>
      <c r="V378" s="202">
        <f>Ruimtestaat[[#This Row],[Uitvoeringen werkdagen]]*Ruimtestaat[[#This Row],[Oppervlak (netto)]]</f>
        <v>5250</v>
      </c>
      <c r="W378" s="242">
        <f>IF(U378&gt;0,Ruimtestaat[[#This Row],[Prest. (m2 /jaar) werkdagen]]/Ruimtestaat[[#This Row],[Norm (m2/uur) werkdagen]],0)</f>
        <v>0</v>
      </c>
      <c r="X378" s="243">
        <f>Ruimtestaat[[#This Row],[uren / jaar werkdagen]]*Tariefsopbouw!$D$38</f>
        <v>0</v>
      </c>
      <c r="Y378" s="33"/>
      <c r="Z378" s="33">
        <f>IF(Ruimtestaat[[#This Row],[Frequentie weekend]]&gt;0,VALUE(LEFT(Y378,1))*R378,0)</f>
        <v>0</v>
      </c>
      <c r="AA378" s="33">
        <f>IF($Z378&gt;0,VLOOKUP($J378,Ruimtegroepen[],3,FALSE)*VLOOKUP($L378,Vloersoorten[],3,FALSE)*VLOOKUP($Y378,Frequenties[],3,FALSE)*VLOOKUP(#REF!,Locaties[],3,FALSE),0)</f>
        <v>0</v>
      </c>
      <c r="AB378" s="33"/>
      <c r="AC378" s="33"/>
      <c r="AD378" s="33">
        <f>Ruimtestaat[[#This Row],[uren / jaar weekend]]*Tariefsopbouw!$D$40</f>
        <v>0</v>
      </c>
      <c r="AE378" s="86">
        <f>Ruimtestaat[[#This Row],[Prest. (m2 /jaar) weekend]]+Ruimtestaat[[#This Row],[Prest. (m2 /jaar) werkdagen]]</f>
        <v>5250</v>
      </c>
      <c r="AF378" s="86">
        <f>Ruimtestaat[[#This Row],[uren / jaar weekend]]+Ruimtestaat[[#This Row],[uren / jaar werkdagen]]</f>
        <v>0</v>
      </c>
      <c r="AG378" s="87">
        <f>Ruimtestaat[[#This Row],[kosten / jaar weekend]]+Ruimtestaat[[#This Row],[kosten / jaar werkdagen]]</f>
        <v>0</v>
      </c>
    </row>
    <row r="379" spans="1:33" ht="15" customHeight="1">
      <c r="A379" s="187">
        <v>4</v>
      </c>
      <c r="B379" s="21" t="str">
        <f>VLOOKUP(Ruimtestaat[[#This Row],[Code]],Locaties[#All],2,FALSE)</f>
        <v xml:space="preserve">Lyceumstraat </v>
      </c>
      <c r="C379" s="247" t="str">
        <f>VLOOKUP(Ruimtestaat[[#This Row],[Code]],Locaties[#All],4,FALSE)</f>
        <v>Lyceumstraat 36</v>
      </c>
      <c r="D379" s="247" t="str">
        <f>VLOOKUP(Ruimtestaat[[#This Row],[Code]],Locaties[#All],5,FALSE)</f>
        <v>7572 CR</v>
      </c>
      <c r="E379" s="187" t="str">
        <f>VLOOKUP(Ruimtestaat[[#This Row],[Code]],Locaties[#All],6,FALSE)</f>
        <v>Oldenzaal</v>
      </c>
      <c r="F379" s="248"/>
      <c r="G379" s="246" t="s">
        <v>679</v>
      </c>
      <c r="H379" s="246" t="s">
        <v>1047</v>
      </c>
      <c r="I379" s="248" t="s">
        <v>414</v>
      </c>
      <c r="J379" s="187">
        <v>6</v>
      </c>
      <c r="K379" s="187" t="str">
        <f>VLOOKUP(Ruimtestaat[[#This Row],[Ruimte code]],Ruimtegroepen[#All],2,FALSE)</f>
        <v>Gangen/hallen</v>
      </c>
      <c r="L379" s="202" t="s">
        <v>108</v>
      </c>
      <c r="M379" s="249" t="s">
        <v>1201</v>
      </c>
      <c r="N379" s="200">
        <v>85</v>
      </c>
      <c r="O379" s="190"/>
      <c r="P379" s="231" t="str">
        <f>VLOOKUP(Ruimtestaat[[#This Row],[Ruimte code]],Ruimtegroepen[#All],4,FALSE)</f>
        <v>V  (Verkeersruimte)</v>
      </c>
      <c r="Q379" s="201"/>
      <c r="R379" s="202">
        <v>42</v>
      </c>
      <c r="S379" s="202" t="s">
        <v>2</v>
      </c>
      <c r="T379" s="202">
        <f>IF(R379&gt;0,IF(RIGHT(Ruimtestaat[[#This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79" s="202">
        <f>IF(T379&gt;0,VLOOKUP($J379,Ruimtegroepen[],3,FALSE)*VLOOKUP($L379,Vloersoorten[],3,FALSE)*VLOOKUP($S379,Frequenties[],3,FALSE)*VLOOKUP($A379,Locaties[],3,FALSE),0)</f>
        <v>0</v>
      </c>
      <c r="V379" s="202">
        <f>Ruimtestaat[[#This Row],[Uitvoeringen werkdagen]]*Ruimtestaat[[#This Row],[Oppervlak (netto)]]</f>
        <v>17850</v>
      </c>
      <c r="W379" s="242">
        <f>IF(U379&gt;0,Ruimtestaat[[#This Row],[Prest. (m2 /jaar) werkdagen]]/Ruimtestaat[[#This Row],[Norm (m2/uur) werkdagen]],0)</f>
        <v>0</v>
      </c>
      <c r="X379" s="243">
        <f>Ruimtestaat[[#This Row],[uren / jaar werkdagen]]*Tariefsopbouw!$D$38</f>
        <v>0</v>
      </c>
      <c r="Y379" s="33"/>
      <c r="Z379" s="33">
        <f>IF(Ruimtestaat[[#This Row],[Frequentie weekend]]&gt;0,VALUE(LEFT(Y379,1))*R379,0)</f>
        <v>0</v>
      </c>
      <c r="AA379" s="33">
        <f>IF($Z379&gt;0,VLOOKUP($J379,Ruimtegroepen[],3,FALSE)*VLOOKUP($L379,Vloersoorten[],3,FALSE)*VLOOKUP($Y379,Frequenties[],3,FALSE)*VLOOKUP(#REF!,Locaties[],3,FALSE),0)</f>
        <v>0</v>
      </c>
      <c r="AB379" s="33"/>
      <c r="AC379" s="33"/>
      <c r="AD379" s="33">
        <f>Ruimtestaat[[#This Row],[uren / jaar weekend]]*Tariefsopbouw!$D$40</f>
        <v>0</v>
      </c>
      <c r="AE379" s="86">
        <f>Ruimtestaat[[#This Row],[Prest. (m2 /jaar) weekend]]+Ruimtestaat[[#This Row],[Prest. (m2 /jaar) werkdagen]]</f>
        <v>17850</v>
      </c>
      <c r="AF379" s="86">
        <f>Ruimtestaat[[#This Row],[uren / jaar weekend]]+Ruimtestaat[[#This Row],[uren / jaar werkdagen]]</f>
        <v>0</v>
      </c>
      <c r="AG379" s="87">
        <f>Ruimtestaat[[#This Row],[kosten / jaar weekend]]+Ruimtestaat[[#This Row],[kosten / jaar werkdagen]]</f>
        <v>0</v>
      </c>
    </row>
    <row r="380" spans="1:33" ht="15" customHeight="1">
      <c r="A380" s="187">
        <v>4</v>
      </c>
      <c r="B380" s="21" t="str">
        <f>VLOOKUP(Ruimtestaat[[#This Row],[Code]],Locaties[#All],2,FALSE)</f>
        <v xml:space="preserve">Lyceumstraat </v>
      </c>
      <c r="C380" s="247" t="str">
        <f>VLOOKUP(Ruimtestaat[[#This Row],[Code]],Locaties[#All],4,FALSE)</f>
        <v>Lyceumstraat 36</v>
      </c>
      <c r="D380" s="247" t="str">
        <f>VLOOKUP(Ruimtestaat[[#This Row],[Code]],Locaties[#All],5,FALSE)</f>
        <v>7572 CR</v>
      </c>
      <c r="E380" s="187" t="str">
        <f>VLOOKUP(Ruimtestaat[[#This Row],[Code]],Locaties[#All],6,FALSE)</f>
        <v>Oldenzaal</v>
      </c>
      <c r="F380" s="248"/>
      <c r="G380" s="246" t="s">
        <v>679</v>
      </c>
      <c r="H380" s="246" t="s">
        <v>1048</v>
      </c>
      <c r="I380" s="248" t="s">
        <v>414</v>
      </c>
      <c r="J380" s="187">
        <v>6</v>
      </c>
      <c r="K380" s="187" t="str">
        <f>VLOOKUP(Ruimtestaat[[#This Row],[Ruimte code]],Ruimtegroepen[#All],2,FALSE)</f>
        <v>Gangen/hallen</v>
      </c>
      <c r="L380" s="202" t="s">
        <v>108</v>
      </c>
      <c r="M380" s="249" t="s">
        <v>1201</v>
      </c>
      <c r="N380" s="200">
        <v>35</v>
      </c>
      <c r="O380" s="190"/>
      <c r="P380" s="231" t="str">
        <f>VLOOKUP(Ruimtestaat[[#This Row],[Ruimte code]],Ruimtegroepen[#All],4,FALSE)</f>
        <v>V  (Verkeersruimte)</v>
      </c>
      <c r="Q380" s="201"/>
      <c r="R380" s="202">
        <v>42</v>
      </c>
      <c r="S380" s="202" t="s">
        <v>2</v>
      </c>
      <c r="T380" s="202">
        <f>IF(R380&gt;0,IF(RIGHT(Ruimtestaat[[#This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80" s="202">
        <f>IF(T380&gt;0,VLOOKUP($J380,Ruimtegroepen[],3,FALSE)*VLOOKUP($L380,Vloersoorten[],3,FALSE)*VLOOKUP($S380,Frequenties[],3,FALSE)*VLOOKUP($A380,Locaties[],3,FALSE),0)</f>
        <v>0</v>
      </c>
      <c r="V380" s="202">
        <f>Ruimtestaat[[#This Row],[Uitvoeringen werkdagen]]*Ruimtestaat[[#This Row],[Oppervlak (netto)]]</f>
        <v>7350</v>
      </c>
      <c r="W380" s="242">
        <f>IF(U380&gt;0,Ruimtestaat[[#This Row],[Prest. (m2 /jaar) werkdagen]]/Ruimtestaat[[#This Row],[Norm (m2/uur) werkdagen]],0)</f>
        <v>0</v>
      </c>
      <c r="X380" s="243">
        <f>Ruimtestaat[[#This Row],[uren / jaar werkdagen]]*Tariefsopbouw!$D$38</f>
        <v>0</v>
      </c>
      <c r="Y380" s="33"/>
      <c r="Z380" s="33">
        <f>IF(Ruimtestaat[[#This Row],[Frequentie weekend]]&gt;0,VALUE(LEFT(Y380,1))*R380,0)</f>
        <v>0</v>
      </c>
      <c r="AA380" s="33">
        <f>IF($Z380&gt;0,VLOOKUP($J380,Ruimtegroepen[],3,FALSE)*VLOOKUP($L380,Vloersoorten[],3,FALSE)*VLOOKUP($Y380,Frequenties[],3,FALSE)*VLOOKUP(#REF!,Locaties[],3,FALSE),0)</f>
        <v>0</v>
      </c>
      <c r="AB380" s="33"/>
      <c r="AC380" s="33"/>
      <c r="AD380" s="33">
        <f>Ruimtestaat[[#This Row],[uren / jaar weekend]]*Tariefsopbouw!$D$40</f>
        <v>0</v>
      </c>
      <c r="AE380" s="86">
        <f>Ruimtestaat[[#This Row],[Prest. (m2 /jaar) weekend]]+Ruimtestaat[[#This Row],[Prest. (m2 /jaar) werkdagen]]</f>
        <v>7350</v>
      </c>
      <c r="AF380" s="86">
        <f>Ruimtestaat[[#This Row],[uren / jaar weekend]]+Ruimtestaat[[#This Row],[uren / jaar werkdagen]]</f>
        <v>0</v>
      </c>
      <c r="AG380" s="87">
        <f>Ruimtestaat[[#This Row],[kosten / jaar weekend]]+Ruimtestaat[[#This Row],[kosten / jaar werkdagen]]</f>
        <v>0</v>
      </c>
    </row>
    <row r="381" spans="1:33" ht="15" customHeight="1">
      <c r="A381" s="187">
        <v>4</v>
      </c>
      <c r="B381" s="21" t="str">
        <f>VLOOKUP(Ruimtestaat[[#This Row],[Code]],Locaties[#All],2,FALSE)</f>
        <v xml:space="preserve">Lyceumstraat </v>
      </c>
      <c r="C381" s="247" t="str">
        <f>VLOOKUP(Ruimtestaat[[#This Row],[Code]],Locaties[#All],4,FALSE)</f>
        <v>Lyceumstraat 36</v>
      </c>
      <c r="D381" s="247" t="str">
        <f>VLOOKUP(Ruimtestaat[[#This Row],[Code]],Locaties[#All],5,FALSE)</f>
        <v>7572 CR</v>
      </c>
      <c r="E381" s="187" t="str">
        <f>VLOOKUP(Ruimtestaat[[#This Row],[Code]],Locaties[#All],6,FALSE)</f>
        <v>Oldenzaal</v>
      </c>
      <c r="F381" s="248"/>
      <c r="G381" s="246" t="s">
        <v>679</v>
      </c>
      <c r="H381" s="246" t="s">
        <v>1049</v>
      </c>
      <c r="I381" s="248" t="s">
        <v>414</v>
      </c>
      <c r="J381" s="247">
        <v>6</v>
      </c>
      <c r="K381" s="247" t="str">
        <f>VLOOKUP(Ruimtestaat[[#This Row],[Ruimte code]],Ruimtegroepen[#All],2,FALSE)</f>
        <v>Gangen/hallen</v>
      </c>
      <c r="L381" s="247" t="s">
        <v>677</v>
      </c>
      <c r="M381" s="249" t="s">
        <v>1200</v>
      </c>
      <c r="N381" s="200">
        <v>26.5</v>
      </c>
      <c r="O381" s="190"/>
      <c r="P381" s="231" t="str">
        <f>VLOOKUP(Ruimtestaat[[#This Row],[Ruimte code]],Ruimtegroepen[#All],4,FALSE)</f>
        <v>V  (Verkeersruimte)</v>
      </c>
      <c r="Q381" s="201"/>
      <c r="R381" s="202">
        <v>42</v>
      </c>
      <c r="S381" s="202" t="s">
        <v>2</v>
      </c>
      <c r="T381" s="202">
        <f>IF(R381&gt;0,IF(RIGHT(Ruimtestaat[[#This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81" s="202">
        <f>IF(T381&gt;0,VLOOKUP($J381,Ruimtegroepen[],3,FALSE)*VLOOKUP($L381,Vloersoorten[],3,FALSE)*VLOOKUP($S381,Frequenties[],3,FALSE)*VLOOKUP($A381,Locaties[],3,FALSE),0)</f>
        <v>0</v>
      </c>
      <c r="V381" s="202">
        <f>Ruimtestaat[[#This Row],[Uitvoeringen werkdagen]]*Ruimtestaat[[#This Row],[Oppervlak (netto)]]</f>
        <v>5565</v>
      </c>
      <c r="W381" s="242">
        <f>IF(U381&gt;0,Ruimtestaat[[#This Row],[Prest. (m2 /jaar) werkdagen]]/Ruimtestaat[[#This Row],[Norm (m2/uur) werkdagen]],0)</f>
        <v>0</v>
      </c>
      <c r="X381" s="243">
        <f>Ruimtestaat[[#This Row],[uren / jaar werkdagen]]*Tariefsopbouw!$D$38</f>
        <v>0</v>
      </c>
      <c r="Y381" s="33"/>
      <c r="Z381" s="33">
        <f>IF(Ruimtestaat[[#This Row],[Frequentie weekend]]&gt;0,VALUE(LEFT(Y381,1))*R381,0)</f>
        <v>0</v>
      </c>
      <c r="AA381" s="33">
        <f>IF($Z381&gt;0,VLOOKUP($J381,Ruimtegroepen[],3,FALSE)*VLOOKUP($L381,Vloersoorten[],3,FALSE)*VLOOKUP($Y381,Frequenties[],3,FALSE)*VLOOKUP(#REF!,Locaties[],3,FALSE),0)</f>
        <v>0</v>
      </c>
      <c r="AB381" s="33"/>
      <c r="AC381" s="33"/>
      <c r="AD381" s="33">
        <f>Ruimtestaat[[#This Row],[uren / jaar weekend]]*Tariefsopbouw!$D$40</f>
        <v>0</v>
      </c>
      <c r="AE381" s="86">
        <f>Ruimtestaat[[#This Row],[Prest. (m2 /jaar) weekend]]+Ruimtestaat[[#This Row],[Prest. (m2 /jaar) werkdagen]]</f>
        <v>5565</v>
      </c>
      <c r="AF381" s="86">
        <f>Ruimtestaat[[#This Row],[uren / jaar weekend]]+Ruimtestaat[[#This Row],[uren / jaar werkdagen]]</f>
        <v>0</v>
      </c>
      <c r="AG381" s="87">
        <f>Ruimtestaat[[#This Row],[kosten / jaar weekend]]+Ruimtestaat[[#This Row],[kosten / jaar werkdagen]]</f>
        <v>0</v>
      </c>
    </row>
    <row r="382" spans="1:33" ht="15" customHeight="1">
      <c r="A382" s="187">
        <v>4</v>
      </c>
      <c r="B382" s="21" t="str">
        <f>VLOOKUP(Ruimtestaat[[#This Row],[Code]],Locaties[#All],2,FALSE)</f>
        <v xml:space="preserve">Lyceumstraat </v>
      </c>
      <c r="C382" s="247" t="str">
        <f>VLOOKUP(Ruimtestaat[[#This Row],[Code]],Locaties[#All],4,FALSE)</f>
        <v>Lyceumstraat 36</v>
      </c>
      <c r="D382" s="247" t="str">
        <f>VLOOKUP(Ruimtestaat[[#This Row],[Code]],Locaties[#All],5,FALSE)</f>
        <v>7572 CR</v>
      </c>
      <c r="E382" s="187" t="str">
        <f>VLOOKUP(Ruimtestaat[[#This Row],[Code]],Locaties[#All],6,FALSE)</f>
        <v>Oldenzaal</v>
      </c>
      <c r="F382" s="248"/>
      <c r="G382" s="246">
        <v>1</v>
      </c>
      <c r="H382" s="246" t="s">
        <v>1050</v>
      </c>
      <c r="I382" s="248" t="s">
        <v>1010</v>
      </c>
      <c r="J382" s="187">
        <v>14</v>
      </c>
      <c r="K382" s="187" t="str">
        <f>VLOOKUP(Ruimtestaat[[#This Row],[Ruimte code]],Ruimtegroepen[#All],2,FALSE)</f>
        <v>Praktijklokalen/kabinet</v>
      </c>
      <c r="L382" s="247" t="s">
        <v>677</v>
      </c>
      <c r="M382" s="249" t="s">
        <v>1200</v>
      </c>
      <c r="N382" s="200">
        <v>51</v>
      </c>
      <c r="O382" s="190"/>
      <c r="P382" s="231" t="str">
        <f>VLOOKUP(Ruimtestaat[[#This Row],[Ruimte code]],Ruimtegroepen[#All],4,FALSE)</f>
        <v>L  (Lesruimte)</v>
      </c>
      <c r="Q382" s="201"/>
      <c r="R382" s="202">
        <v>42</v>
      </c>
      <c r="S382" s="202" t="s">
        <v>2</v>
      </c>
      <c r="T382" s="202">
        <f>IF(R382&gt;0,IF(RIGHT(Ruimtestaat[[#This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82" s="202">
        <f>IF(T382&gt;0,VLOOKUP($J382,Ruimtegroepen[],3,FALSE)*VLOOKUP($L382,Vloersoorten[],3,FALSE)*VLOOKUP($S382,Frequenties[],3,FALSE)*VLOOKUP($A382,Locaties[],3,FALSE),0)</f>
        <v>0</v>
      </c>
      <c r="V382" s="202">
        <f>Ruimtestaat[[#This Row],[Uitvoeringen werkdagen]]*Ruimtestaat[[#This Row],[Oppervlak (netto)]]</f>
        <v>10710</v>
      </c>
      <c r="W382" s="242">
        <f>IF(U382&gt;0,Ruimtestaat[[#This Row],[Prest. (m2 /jaar) werkdagen]]/Ruimtestaat[[#This Row],[Norm (m2/uur) werkdagen]],0)</f>
        <v>0</v>
      </c>
      <c r="X382" s="243">
        <f>Ruimtestaat[[#This Row],[uren / jaar werkdagen]]*Tariefsopbouw!$D$38</f>
        <v>0</v>
      </c>
      <c r="Y382" s="33"/>
      <c r="Z382" s="33">
        <f>IF(Ruimtestaat[[#This Row],[Frequentie weekend]]&gt;0,VALUE(LEFT(Y382,1))*R382,0)</f>
        <v>0</v>
      </c>
      <c r="AA382" s="33">
        <f>IF($Z382&gt;0,VLOOKUP($J382,Ruimtegroepen[],3,FALSE)*VLOOKUP($L382,Vloersoorten[],3,FALSE)*VLOOKUP($Y382,Frequenties[],3,FALSE)*VLOOKUP(#REF!,Locaties[],3,FALSE),0)</f>
        <v>0</v>
      </c>
      <c r="AB382" s="33"/>
      <c r="AC382" s="33"/>
      <c r="AD382" s="33">
        <f>Ruimtestaat[[#This Row],[uren / jaar weekend]]*Tariefsopbouw!$D$40</f>
        <v>0</v>
      </c>
      <c r="AE382" s="86">
        <f>Ruimtestaat[[#This Row],[Prest. (m2 /jaar) weekend]]+Ruimtestaat[[#This Row],[Prest. (m2 /jaar) werkdagen]]</f>
        <v>10710</v>
      </c>
      <c r="AF382" s="86">
        <f>Ruimtestaat[[#This Row],[uren / jaar weekend]]+Ruimtestaat[[#This Row],[uren / jaar werkdagen]]</f>
        <v>0</v>
      </c>
      <c r="AG382" s="87">
        <f>Ruimtestaat[[#This Row],[kosten / jaar weekend]]+Ruimtestaat[[#This Row],[kosten / jaar werkdagen]]</f>
        <v>0</v>
      </c>
    </row>
    <row r="383" spans="1:33" ht="15" customHeight="1">
      <c r="A383" s="187">
        <v>4</v>
      </c>
      <c r="B383" s="21" t="str">
        <f>VLOOKUP(Ruimtestaat[[#This Row],[Code]],Locaties[#All],2,FALSE)</f>
        <v xml:space="preserve">Lyceumstraat </v>
      </c>
      <c r="C383" s="247" t="str">
        <f>VLOOKUP(Ruimtestaat[[#This Row],[Code]],Locaties[#All],4,FALSE)</f>
        <v>Lyceumstraat 36</v>
      </c>
      <c r="D383" s="247" t="str">
        <f>VLOOKUP(Ruimtestaat[[#This Row],[Code]],Locaties[#All],5,FALSE)</f>
        <v>7572 CR</v>
      </c>
      <c r="E383" s="187" t="str">
        <f>VLOOKUP(Ruimtestaat[[#This Row],[Code]],Locaties[#All],6,FALSE)</f>
        <v>Oldenzaal</v>
      </c>
      <c r="F383" s="248"/>
      <c r="G383" s="246">
        <v>1</v>
      </c>
      <c r="H383" s="246" t="s">
        <v>1051</v>
      </c>
      <c r="I383" s="248" t="s">
        <v>465</v>
      </c>
      <c r="J383" s="187">
        <v>16</v>
      </c>
      <c r="K383" s="187" t="str">
        <f>VLOOKUP(Ruimtestaat[[#This Row],[Ruimte code]],Ruimtegroepen[#All],2,FALSE)</f>
        <v>Leslokalen/computerlokaal</v>
      </c>
      <c r="L383" s="247" t="s">
        <v>677</v>
      </c>
      <c r="M383" s="249" t="s">
        <v>1200</v>
      </c>
      <c r="N383" s="200">
        <v>62</v>
      </c>
      <c r="O383" s="190"/>
      <c r="P383" s="231" t="str">
        <f>VLOOKUP(Ruimtestaat[[#This Row],[Ruimte code]],Ruimtegroepen[#All],4,FALSE)</f>
        <v>L  (Lesruimte)</v>
      </c>
      <c r="Q383" s="201"/>
      <c r="R383" s="202">
        <v>42</v>
      </c>
      <c r="S383" s="202" t="s">
        <v>2</v>
      </c>
      <c r="T383" s="202">
        <f>IF(R383&gt;0,IF(RIGHT(Ruimtestaat[[#This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83" s="202">
        <f>IF(T383&gt;0,VLOOKUP($J383,Ruimtegroepen[],3,FALSE)*VLOOKUP($L383,Vloersoorten[],3,FALSE)*VLOOKUP($S383,Frequenties[],3,FALSE)*VLOOKUP($A383,Locaties[],3,FALSE),0)</f>
        <v>0</v>
      </c>
      <c r="V383" s="202">
        <f>Ruimtestaat[[#This Row],[Uitvoeringen werkdagen]]*Ruimtestaat[[#This Row],[Oppervlak (netto)]]</f>
        <v>13020</v>
      </c>
      <c r="W383" s="242">
        <f>IF(U383&gt;0,Ruimtestaat[[#This Row],[Prest. (m2 /jaar) werkdagen]]/Ruimtestaat[[#This Row],[Norm (m2/uur) werkdagen]],0)</f>
        <v>0</v>
      </c>
      <c r="X383" s="243">
        <f>Ruimtestaat[[#This Row],[uren / jaar werkdagen]]*Tariefsopbouw!$D$38</f>
        <v>0</v>
      </c>
      <c r="Y383" s="33"/>
      <c r="Z383" s="33">
        <f>IF(Ruimtestaat[[#This Row],[Frequentie weekend]]&gt;0,VALUE(LEFT(Y383,1))*R383,0)</f>
        <v>0</v>
      </c>
      <c r="AA383" s="33">
        <f>IF($Z383&gt;0,VLOOKUP($J383,Ruimtegroepen[],3,FALSE)*VLOOKUP($L383,Vloersoorten[],3,FALSE)*VLOOKUP($Y383,Frequenties[],3,FALSE)*VLOOKUP(#REF!,Locaties[],3,FALSE),0)</f>
        <v>0</v>
      </c>
      <c r="AB383" s="33"/>
      <c r="AC383" s="33"/>
      <c r="AD383" s="33">
        <f>Ruimtestaat[[#This Row],[uren / jaar weekend]]*Tariefsopbouw!$D$40</f>
        <v>0</v>
      </c>
      <c r="AE383" s="86">
        <f>Ruimtestaat[[#This Row],[Prest. (m2 /jaar) weekend]]+Ruimtestaat[[#This Row],[Prest. (m2 /jaar) werkdagen]]</f>
        <v>13020</v>
      </c>
      <c r="AF383" s="86">
        <f>Ruimtestaat[[#This Row],[uren / jaar weekend]]+Ruimtestaat[[#This Row],[uren / jaar werkdagen]]</f>
        <v>0</v>
      </c>
      <c r="AG383" s="87">
        <f>Ruimtestaat[[#This Row],[kosten / jaar weekend]]+Ruimtestaat[[#This Row],[kosten / jaar werkdagen]]</f>
        <v>0</v>
      </c>
    </row>
    <row r="384" spans="1:33" ht="15" customHeight="1">
      <c r="A384" s="187">
        <v>4</v>
      </c>
      <c r="B384" s="21" t="str">
        <f>VLOOKUP(Ruimtestaat[[#This Row],[Code]],Locaties[#All],2,FALSE)</f>
        <v xml:space="preserve">Lyceumstraat </v>
      </c>
      <c r="C384" s="247" t="str">
        <f>VLOOKUP(Ruimtestaat[[#This Row],[Code]],Locaties[#All],4,FALSE)</f>
        <v>Lyceumstraat 36</v>
      </c>
      <c r="D384" s="247" t="str">
        <f>VLOOKUP(Ruimtestaat[[#This Row],[Code]],Locaties[#All],5,FALSE)</f>
        <v>7572 CR</v>
      </c>
      <c r="E384" s="187" t="str">
        <f>VLOOKUP(Ruimtestaat[[#This Row],[Code]],Locaties[#All],6,FALSE)</f>
        <v>Oldenzaal</v>
      </c>
      <c r="F384" s="248"/>
      <c r="G384" s="246">
        <v>1</v>
      </c>
      <c r="H384" s="246" t="s">
        <v>1052</v>
      </c>
      <c r="I384" s="248" t="s">
        <v>917</v>
      </c>
      <c r="J384" s="247">
        <v>2</v>
      </c>
      <c r="K384" s="247" t="str">
        <f>VLOOKUP(Ruimtestaat[[#This Row],[Ruimte code]],Ruimtegroepen[#All],2,FALSE)</f>
        <v>Kantoren/kantoortuin</v>
      </c>
      <c r="L384" s="247" t="s">
        <v>1204</v>
      </c>
      <c r="M384" s="249" t="s">
        <v>1205</v>
      </c>
      <c r="N384" s="200">
        <v>22</v>
      </c>
      <c r="O384" s="190"/>
      <c r="P384" s="231" t="str">
        <f>VLOOKUP(Ruimtestaat[[#This Row],[Ruimte code]],Ruimtegroepen[#All],4,FALSE)</f>
        <v>B  (Bureauruimte)</v>
      </c>
      <c r="Q384" s="201"/>
      <c r="R384" s="202">
        <v>42</v>
      </c>
      <c r="S384" s="202" t="s">
        <v>2</v>
      </c>
      <c r="T384" s="202">
        <f>IF(R384&gt;0,IF(RIGHT(Ruimtestaat[[#This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84" s="202">
        <f>IF(T384&gt;0,VLOOKUP($J384,Ruimtegroepen[],3,FALSE)*VLOOKUP($L384,Vloersoorten[],3,FALSE)*VLOOKUP($S384,Frequenties[],3,FALSE)*VLOOKUP($A384,Locaties[],3,FALSE),0)</f>
        <v>0</v>
      </c>
      <c r="V384" s="202">
        <f>Ruimtestaat[[#This Row],[Uitvoeringen werkdagen]]*Ruimtestaat[[#This Row],[Oppervlak (netto)]]</f>
        <v>4620</v>
      </c>
      <c r="W384" s="242">
        <f>IF(U384&gt;0,Ruimtestaat[[#This Row],[Prest. (m2 /jaar) werkdagen]]/Ruimtestaat[[#This Row],[Norm (m2/uur) werkdagen]],0)</f>
        <v>0</v>
      </c>
      <c r="X384" s="243">
        <f>Ruimtestaat[[#This Row],[uren / jaar werkdagen]]*Tariefsopbouw!$D$38</f>
        <v>0</v>
      </c>
      <c r="Y384" s="33"/>
      <c r="Z384" s="33">
        <f>IF(Ruimtestaat[[#This Row],[Frequentie weekend]]&gt;0,VALUE(LEFT(Y384,1))*R384,0)</f>
        <v>0</v>
      </c>
      <c r="AA384" s="33">
        <f>IF($Z384&gt;0,VLOOKUP($J384,Ruimtegroepen[],3,FALSE)*VLOOKUP($L384,Vloersoorten[],3,FALSE)*VLOOKUP($Y384,Frequenties[],3,FALSE)*VLOOKUP(#REF!,Locaties[],3,FALSE),0)</f>
        <v>0</v>
      </c>
      <c r="AB384" s="33"/>
      <c r="AC384" s="33"/>
      <c r="AD384" s="33">
        <f>Ruimtestaat[[#This Row],[uren / jaar weekend]]*Tariefsopbouw!$D$40</f>
        <v>0</v>
      </c>
      <c r="AE384" s="86">
        <f>Ruimtestaat[[#This Row],[Prest. (m2 /jaar) weekend]]+Ruimtestaat[[#This Row],[Prest. (m2 /jaar) werkdagen]]</f>
        <v>4620</v>
      </c>
      <c r="AF384" s="86">
        <f>Ruimtestaat[[#This Row],[uren / jaar weekend]]+Ruimtestaat[[#This Row],[uren / jaar werkdagen]]</f>
        <v>0</v>
      </c>
      <c r="AG384" s="87">
        <f>Ruimtestaat[[#This Row],[kosten / jaar weekend]]+Ruimtestaat[[#This Row],[kosten / jaar werkdagen]]</f>
        <v>0</v>
      </c>
    </row>
    <row r="385" spans="1:33" ht="15" customHeight="1">
      <c r="A385" s="187">
        <v>4</v>
      </c>
      <c r="B385" s="21" t="str">
        <f>VLOOKUP(Ruimtestaat[[#This Row],[Code]],Locaties[#All],2,FALSE)</f>
        <v xml:space="preserve">Lyceumstraat </v>
      </c>
      <c r="C385" s="247" t="str">
        <f>VLOOKUP(Ruimtestaat[[#This Row],[Code]],Locaties[#All],4,FALSE)</f>
        <v>Lyceumstraat 36</v>
      </c>
      <c r="D385" s="247" t="str">
        <f>VLOOKUP(Ruimtestaat[[#This Row],[Code]],Locaties[#All],5,FALSE)</f>
        <v>7572 CR</v>
      </c>
      <c r="E385" s="187" t="str">
        <f>VLOOKUP(Ruimtestaat[[#This Row],[Code]],Locaties[#All],6,FALSE)</f>
        <v>Oldenzaal</v>
      </c>
      <c r="F385" s="248"/>
      <c r="G385" s="246">
        <v>1</v>
      </c>
      <c r="H385" s="246" t="s">
        <v>1053</v>
      </c>
      <c r="I385" s="248" t="s">
        <v>914</v>
      </c>
      <c r="J385" s="187">
        <v>2</v>
      </c>
      <c r="K385" s="187" t="str">
        <f>VLOOKUP(Ruimtestaat[[#This Row],[Ruimte code]],Ruimtegroepen[#All],2,FALSE)</f>
        <v>Kantoren/kantoortuin</v>
      </c>
      <c r="L385" s="247" t="s">
        <v>1204</v>
      </c>
      <c r="M385" s="249" t="s">
        <v>1205</v>
      </c>
      <c r="N385" s="200">
        <v>31</v>
      </c>
      <c r="O385" s="190"/>
      <c r="P385" s="231" t="str">
        <f>VLOOKUP(Ruimtestaat[[#This Row],[Ruimte code]],Ruimtegroepen[#All],4,FALSE)</f>
        <v>B  (Bureauruimte)</v>
      </c>
      <c r="Q385" s="201"/>
      <c r="R385" s="202">
        <v>42</v>
      </c>
      <c r="S385" s="202" t="s">
        <v>2</v>
      </c>
      <c r="T385" s="202">
        <f>IF(R385&gt;0,IF(RIGHT(Ruimtestaat[[#This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85" s="202">
        <f>IF(T385&gt;0,VLOOKUP($J385,Ruimtegroepen[],3,FALSE)*VLOOKUP($L385,Vloersoorten[],3,FALSE)*VLOOKUP($S385,Frequenties[],3,FALSE)*VLOOKUP($A385,Locaties[],3,FALSE),0)</f>
        <v>0</v>
      </c>
      <c r="V385" s="202">
        <f>Ruimtestaat[[#This Row],[Uitvoeringen werkdagen]]*Ruimtestaat[[#This Row],[Oppervlak (netto)]]</f>
        <v>6510</v>
      </c>
      <c r="W385" s="242">
        <f>IF(U385&gt;0,Ruimtestaat[[#This Row],[Prest. (m2 /jaar) werkdagen]]/Ruimtestaat[[#This Row],[Norm (m2/uur) werkdagen]],0)</f>
        <v>0</v>
      </c>
      <c r="X385" s="243">
        <f>Ruimtestaat[[#This Row],[uren / jaar werkdagen]]*Tariefsopbouw!$D$38</f>
        <v>0</v>
      </c>
      <c r="Y385" s="33"/>
      <c r="Z385" s="33">
        <f>IF(Ruimtestaat[[#This Row],[Frequentie weekend]]&gt;0,VALUE(LEFT(Y385,1))*R385,0)</f>
        <v>0</v>
      </c>
      <c r="AA385" s="33">
        <f>IF($Z385&gt;0,VLOOKUP($J385,Ruimtegroepen[],3,FALSE)*VLOOKUP($L385,Vloersoorten[],3,FALSE)*VLOOKUP($Y385,Frequenties[],3,FALSE)*VLOOKUP(#REF!,Locaties[],3,FALSE),0)</f>
        <v>0</v>
      </c>
      <c r="AB385" s="33"/>
      <c r="AC385" s="33"/>
      <c r="AD385" s="33">
        <f>Ruimtestaat[[#This Row],[uren / jaar weekend]]*Tariefsopbouw!$D$40</f>
        <v>0</v>
      </c>
      <c r="AE385" s="86">
        <f>Ruimtestaat[[#This Row],[Prest. (m2 /jaar) weekend]]+Ruimtestaat[[#This Row],[Prest. (m2 /jaar) werkdagen]]</f>
        <v>6510</v>
      </c>
      <c r="AF385" s="86">
        <f>Ruimtestaat[[#This Row],[uren / jaar weekend]]+Ruimtestaat[[#This Row],[uren / jaar werkdagen]]</f>
        <v>0</v>
      </c>
      <c r="AG385" s="87">
        <f>Ruimtestaat[[#This Row],[kosten / jaar weekend]]+Ruimtestaat[[#This Row],[kosten / jaar werkdagen]]</f>
        <v>0</v>
      </c>
    </row>
    <row r="386" spans="1:33" ht="15" customHeight="1">
      <c r="A386" s="187">
        <v>4</v>
      </c>
      <c r="B386" s="21" t="str">
        <f>VLOOKUP(Ruimtestaat[[#This Row],[Code]],Locaties[#All],2,FALSE)</f>
        <v xml:space="preserve">Lyceumstraat </v>
      </c>
      <c r="C386" s="247" t="str">
        <f>VLOOKUP(Ruimtestaat[[#This Row],[Code]],Locaties[#All],4,FALSE)</f>
        <v>Lyceumstraat 36</v>
      </c>
      <c r="D386" s="247" t="str">
        <f>VLOOKUP(Ruimtestaat[[#This Row],[Code]],Locaties[#All],5,FALSE)</f>
        <v>7572 CR</v>
      </c>
      <c r="E386" s="187" t="str">
        <f>VLOOKUP(Ruimtestaat[[#This Row],[Code]],Locaties[#All],6,FALSE)</f>
        <v>Oldenzaal</v>
      </c>
      <c r="F386" s="248"/>
      <c r="G386" s="246">
        <v>1</v>
      </c>
      <c r="H386" s="246" t="s">
        <v>1054</v>
      </c>
      <c r="I386" s="248" t="s">
        <v>465</v>
      </c>
      <c r="J386" s="187">
        <v>16</v>
      </c>
      <c r="K386" s="187" t="str">
        <f>VLOOKUP(Ruimtestaat[[#This Row],[Ruimte code]],Ruimtegroepen[#All],2,FALSE)</f>
        <v>Leslokalen/computerlokaal</v>
      </c>
      <c r="L386" s="247" t="s">
        <v>677</v>
      </c>
      <c r="M386" s="249" t="s">
        <v>1200</v>
      </c>
      <c r="N386" s="200">
        <v>51</v>
      </c>
      <c r="O386" s="190"/>
      <c r="P386" s="231" t="str">
        <f>VLOOKUP(Ruimtestaat[[#This Row],[Ruimte code]],Ruimtegroepen[#All],4,FALSE)</f>
        <v>L  (Lesruimte)</v>
      </c>
      <c r="Q386" s="201"/>
      <c r="R386" s="202">
        <v>42</v>
      </c>
      <c r="S386" s="202" t="s">
        <v>2</v>
      </c>
      <c r="T386" s="202">
        <f>IF(R386&gt;0,IF(RIGHT(Ruimtestaat[[#This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86" s="202">
        <f>IF(T386&gt;0,VLOOKUP($J386,Ruimtegroepen[],3,FALSE)*VLOOKUP($L386,Vloersoorten[],3,FALSE)*VLOOKUP($S386,Frequenties[],3,FALSE)*VLOOKUP($A386,Locaties[],3,FALSE),0)</f>
        <v>0</v>
      </c>
      <c r="V386" s="202">
        <f>Ruimtestaat[[#This Row],[Uitvoeringen werkdagen]]*Ruimtestaat[[#This Row],[Oppervlak (netto)]]</f>
        <v>10710</v>
      </c>
      <c r="W386" s="242">
        <f>IF(U386&gt;0,Ruimtestaat[[#This Row],[Prest. (m2 /jaar) werkdagen]]/Ruimtestaat[[#This Row],[Norm (m2/uur) werkdagen]],0)</f>
        <v>0</v>
      </c>
      <c r="X386" s="243">
        <f>Ruimtestaat[[#This Row],[uren / jaar werkdagen]]*Tariefsopbouw!$D$38</f>
        <v>0</v>
      </c>
      <c r="Y386" s="33"/>
      <c r="Z386" s="33">
        <f>IF(Ruimtestaat[[#This Row],[Frequentie weekend]]&gt;0,VALUE(LEFT(Y386,1))*R386,0)</f>
        <v>0</v>
      </c>
      <c r="AA386" s="33">
        <f>IF($Z386&gt;0,VLOOKUP($J386,Ruimtegroepen[],3,FALSE)*VLOOKUP($L386,Vloersoorten[],3,FALSE)*VLOOKUP($Y386,Frequenties[],3,FALSE)*VLOOKUP(#REF!,Locaties[],3,FALSE),0)</f>
        <v>0</v>
      </c>
      <c r="AB386" s="33"/>
      <c r="AC386" s="33"/>
      <c r="AD386" s="33">
        <f>Ruimtestaat[[#This Row],[uren / jaar weekend]]*Tariefsopbouw!$D$40</f>
        <v>0</v>
      </c>
      <c r="AE386" s="86">
        <f>Ruimtestaat[[#This Row],[Prest. (m2 /jaar) weekend]]+Ruimtestaat[[#This Row],[Prest. (m2 /jaar) werkdagen]]</f>
        <v>10710</v>
      </c>
      <c r="AF386" s="86">
        <f>Ruimtestaat[[#This Row],[uren / jaar weekend]]+Ruimtestaat[[#This Row],[uren / jaar werkdagen]]</f>
        <v>0</v>
      </c>
      <c r="AG386" s="87">
        <f>Ruimtestaat[[#This Row],[kosten / jaar weekend]]+Ruimtestaat[[#This Row],[kosten / jaar werkdagen]]</f>
        <v>0</v>
      </c>
    </row>
    <row r="387" spans="1:33" ht="15" customHeight="1">
      <c r="A387" s="187">
        <v>4</v>
      </c>
      <c r="B387" s="21" t="str">
        <f>VLOOKUP(Ruimtestaat[[#This Row],[Code]],Locaties[#All],2,FALSE)</f>
        <v xml:space="preserve">Lyceumstraat </v>
      </c>
      <c r="C387" s="247" t="str">
        <f>VLOOKUP(Ruimtestaat[[#This Row],[Code]],Locaties[#All],4,FALSE)</f>
        <v>Lyceumstraat 36</v>
      </c>
      <c r="D387" s="247" t="str">
        <f>VLOOKUP(Ruimtestaat[[#This Row],[Code]],Locaties[#All],5,FALSE)</f>
        <v>7572 CR</v>
      </c>
      <c r="E387" s="187" t="str">
        <f>VLOOKUP(Ruimtestaat[[#This Row],[Code]],Locaties[#All],6,FALSE)</f>
        <v>Oldenzaal</v>
      </c>
      <c r="F387" s="248"/>
      <c r="G387" s="246">
        <v>1</v>
      </c>
      <c r="H387" s="246" t="s">
        <v>1055</v>
      </c>
      <c r="I387" s="248" t="s">
        <v>465</v>
      </c>
      <c r="J387" s="247">
        <v>16</v>
      </c>
      <c r="K387" s="247" t="str">
        <f>VLOOKUP(Ruimtestaat[[#This Row],[Ruimte code]],Ruimtegroepen[#All],2,FALSE)</f>
        <v>Leslokalen/computerlokaal</v>
      </c>
      <c r="L387" s="247" t="s">
        <v>677</v>
      </c>
      <c r="M387" s="249" t="s">
        <v>1200</v>
      </c>
      <c r="N387" s="200">
        <v>59</v>
      </c>
      <c r="O387" s="190"/>
      <c r="P387" s="231" t="str">
        <f>VLOOKUP(Ruimtestaat[[#This Row],[Ruimte code]],Ruimtegroepen[#All],4,FALSE)</f>
        <v>L  (Lesruimte)</v>
      </c>
      <c r="Q387" s="201"/>
      <c r="R387" s="202">
        <v>42</v>
      </c>
      <c r="S387" s="202" t="s">
        <v>2</v>
      </c>
      <c r="T387" s="202">
        <f>IF(R387&gt;0,IF(RIGHT(Ruimtestaat[[#This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87" s="202">
        <f>IF(T387&gt;0,VLOOKUP($J387,Ruimtegroepen[],3,FALSE)*VLOOKUP($L387,Vloersoorten[],3,FALSE)*VLOOKUP($S387,Frequenties[],3,FALSE)*VLOOKUP($A387,Locaties[],3,FALSE),0)</f>
        <v>0</v>
      </c>
      <c r="V387" s="202">
        <f>Ruimtestaat[[#This Row],[Uitvoeringen werkdagen]]*Ruimtestaat[[#This Row],[Oppervlak (netto)]]</f>
        <v>12390</v>
      </c>
      <c r="W387" s="242">
        <f>IF(U387&gt;0,Ruimtestaat[[#This Row],[Prest. (m2 /jaar) werkdagen]]/Ruimtestaat[[#This Row],[Norm (m2/uur) werkdagen]],0)</f>
        <v>0</v>
      </c>
      <c r="X387" s="243">
        <f>Ruimtestaat[[#This Row],[uren / jaar werkdagen]]*Tariefsopbouw!$D$38</f>
        <v>0</v>
      </c>
      <c r="Y387" s="33"/>
      <c r="Z387" s="33">
        <f>IF(Ruimtestaat[[#This Row],[Frequentie weekend]]&gt;0,VALUE(LEFT(Y387,1))*R387,0)</f>
        <v>0</v>
      </c>
      <c r="AA387" s="33">
        <f>IF($Z387&gt;0,VLOOKUP($J387,Ruimtegroepen[],3,FALSE)*VLOOKUP($L387,Vloersoorten[],3,FALSE)*VLOOKUP($Y387,Frequenties[],3,FALSE)*VLOOKUP(#REF!,Locaties[],3,FALSE),0)</f>
        <v>0</v>
      </c>
      <c r="AB387" s="33"/>
      <c r="AC387" s="33"/>
      <c r="AD387" s="33">
        <f>Ruimtestaat[[#This Row],[uren / jaar weekend]]*Tariefsopbouw!$D$40</f>
        <v>0</v>
      </c>
      <c r="AE387" s="86">
        <f>Ruimtestaat[[#This Row],[Prest. (m2 /jaar) weekend]]+Ruimtestaat[[#This Row],[Prest. (m2 /jaar) werkdagen]]</f>
        <v>12390</v>
      </c>
      <c r="AF387" s="86">
        <f>Ruimtestaat[[#This Row],[uren / jaar weekend]]+Ruimtestaat[[#This Row],[uren / jaar werkdagen]]</f>
        <v>0</v>
      </c>
      <c r="AG387" s="87">
        <f>Ruimtestaat[[#This Row],[kosten / jaar weekend]]+Ruimtestaat[[#This Row],[kosten / jaar werkdagen]]</f>
        <v>0</v>
      </c>
    </row>
    <row r="388" spans="1:33" ht="15" customHeight="1">
      <c r="A388" s="187">
        <v>4</v>
      </c>
      <c r="B388" s="21" t="str">
        <f>VLOOKUP(Ruimtestaat[[#This Row],[Code]],Locaties[#All],2,FALSE)</f>
        <v xml:space="preserve">Lyceumstraat </v>
      </c>
      <c r="C388" s="247" t="str">
        <f>VLOOKUP(Ruimtestaat[[#This Row],[Code]],Locaties[#All],4,FALSE)</f>
        <v>Lyceumstraat 36</v>
      </c>
      <c r="D388" s="247" t="str">
        <f>VLOOKUP(Ruimtestaat[[#This Row],[Code]],Locaties[#All],5,FALSE)</f>
        <v>7572 CR</v>
      </c>
      <c r="E388" s="187" t="str">
        <f>VLOOKUP(Ruimtestaat[[#This Row],[Code]],Locaties[#All],6,FALSE)</f>
        <v>Oldenzaal</v>
      </c>
      <c r="F388" s="248"/>
      <c r="G388" s="246">
        <v>1</v>
      </c>
      <c r="H388" s="246" t="s">
        <v>1056</v>
      </c>
      <c r="I388" s="248" t="s">
        <v>465</v>
      </c>
      <c r="J388" s="187">
        <v>16</v>
      </c>
      <c r="K388" s="187" t="str">
        <f>VLOOKUP(Ruimtestaat[[#This Row],[Ruimte code]],Ruimtegroepen[#All],2,FALSE)</f>
        <v>Leslokalen/computerlokaal</v>
      </c>
      <c r="L388" s="247" t="s">
        <v>677</v>
      </c>
      <c r="M388" s="249" t="s">
        <v>1200</v>
      </c>
      <c r="N388" s="200">
        <v>59</v>
      </c>
      <c r="O388" s="190"/>
      <c r="P388" s="231" t="str">
        <f>VLOOKUP(Ruimtestaat[[#This Row],[Ruimte code]],Ruimtegroepen[#All],4,FALSE)</f>
        <v>L  (Lesruimte)</v>
      </c>
      <c r="Q388" s="201"/>
      <c r="R388" s="202">
        <v>42</v>
      </c>
      <c r="S388" s="202" t="s">
        <v>2</v>
      </c>
      <c r="T388" s="202">
        <f>IF(R388&gt;0,IF(RIGHT(Ruimtestaat[[#This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88" s="202">
        <f>IF(T388&gt;0,VLOOKUP($J388,Ruimtegroepen[],3,FALSE)*VLOOKUP($L388,Vloersoorten[],3,FALSE)*VLOOKUP($S388,Frequenties[],3,FALSE)*VLOOKUP($A388,Locaties[],3,FALSE),0)</f>
        <v>0</v>
      </c>
      <c r="V388" s="202">
        <f>Ruimtestaat[[#This Row],[Uitvoeringen werkdagen]]*Ruimtestaat[[#This Row],[Oppervlak (netto)]]</f>
        <v>12390</v>
      </c>
      <c r="W388" s="242">
        <f>IF(U388&gt;0,Ruimtestaat[[#This Row],[Prest. (m2 /jaar) werkdagen]]/Ruimtestaat[[#This Row],[Norm (m2/uur) werkdagen]],0)</f>
        <v>0</v>
      </c>
      <c r="X388" s="243">
        <f>Ruimtestaat[[#This Row],[uren / jaar werkdagen]]*Tariefsopbouw!$D$38</f>
        <v>0</v>
      </c>
      <c r="Y388" s="33"/>
      <c r="Z388" s="33">
        <f>IF(Ruimtestaat[[#This Row],[Frequentie weekend]]&gt;0,VALUE(LEFT(Y388,1))*R388,0)</f>
        <v>0</v>
      </c>
      <c r="AA388" s="33">
        <f>IF($Z388&gt;0,VLOOKUP($J388,Ruimtegroepen[],3,FALSE)*VLOOKUP($L388,Vloersoorten[],3,FALSE)*VLOOKUP($Y388,Frequenties[],3,FALSE)*VLOOKUP(#REF!,Locaties[],3,FALSE),0)</f>
        <v>0</v>
      </c>
      <c r="AB388" s="33"/>
      <c r="AC388" s="33"/>
      <c r="AD388" s="33">
        <f>Ruimtestaat[[#This Row],[uren / jaar weekend]]*Tariefsopbouw!$D$40</f>
        <v>0</v>
      </c>
      <c r="AE388" s="86">
        <f>Ruimtestaat[[#This Row],[Prest. (m2 /jaar) weekend]]+Ruimtestaat[[#This Row],[Prest. (m2 /jaar) werkdagen]]</f>
        <v>12390</v>
      </c>
      <c r="AF388" s="86">
        <f>Ruimtestaat[[#This Row],[uren / jaar weekend]]+Ruimtestaat[[#This Row],[uren / jaar werkdagen]]</f>
        <v>0</v>
      </c>
      <c r="AG388" s="87">
        <f>Ruimtestaat[[#This Row],[kosten / jaar weekend]]+Ruimtestaat[[#This Row],[kosten / jaar werkdagen]]</f>
        <v>0</v>
      </c>
    </row>
    <row r="389" spans="1:33" ht="15" customHeight="1">
      <c r="A389" s="187">
        <v>4</v>
      </c>
      <c r="B389" s="21" t="str">
        <f>VLOOKUP(Ruimtestaat[[#This Row],[Code]],Locaties[#All],2,FALSE)</f>
        <v xml:space="preserve">Lyceumstraat </v>
      </c>
      <c r="C389" s="247" t="str">
        <f>VLOOKUP(Ruimtestaat[[#This Row],[Code]],Locaties[#All],4,FALSE)</f>
        <v>Lyceumstraat 36</v>
      </c>
      <c r="D389" s="247" t="str">
        <f>VLOOKUP(Ruimtestaat[[#This Row],[Code]],Locaties[#All],5,FALSE)</f>
        <v>7572 CR</v>
      </c>
      <c r="E389" s="187" t="str">
        <f>VLOOKUP(Ruimtestaat[[#This Row],[Code]],Locaties[#All],6,FALSE)</f>
        <v>Oldenzaal</v>
      </c>
      <c r="F389" s="248"/>
      <c r="G389" s="246">
        <v>1</v>
      </c>
      <c r="H389" s="246" t="s">
        <v>1057</v>
      </c>
      <c r="I389" s="248" t="s">
        <v>1058</v>
      </c>
      <c r="J389" s="187">
        <v>14</v>
      </c>
      <c r="K389" s="187" t="str">
        <f>VLOOKUP(Ruimtestaat[[#This Row],[Ruimte code]],Ruimtegroepen[#All],2,FALSE)</f>
        <v>Praktijklokalen/kabinet</v>
      </c>
      <c r="L389" s="247" t="s">
        <v>677</v>
      </c>
      <c r="M389" s="249" t="s">
        <v>1200</v>
      </c>
      <c r="N389" s="200">
        <v>34</v>
      </c>
      <c r="O389" s="190"/>
      <c r="P389" s="231" t="str">
        <f>VLOOKUP(Ruimtestaat[[#This Row],[Ruimte code]],Ruimtegroepen[#All],4,FALSE)</f>
        <v>L  (Lesruimte)</v>
      </c>
      <c r="Q389" s="201"/>
      <c r="R389" s="202">
        <v>42</v>
      </c>
      <c r="S389" s="202" t="s">
        <v>2</v>
      </c>
      <c r="T389" s="202">
        <f>IF(R389&gt;0,IF(RIGHT(Ruimtestaat[[#This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89" s="202">
        <f>IF(T389&gt;0,VLOOKUP($J389,Ruimtegroepen[],3,FALSE)*VLOOKUP($L389,Vloersoorten[],3,FALSE)*VLOOKUP($S389,Frequenties[],3,FALSE)*VLOOKUP($A389,Locaties[],3,FALSE),0)</f>
        <v>0</v>
      </c>
      <c r="V389" s="202">
        <f>Ruimtestaat[[#This Row],[Uitvoeringen werkdagen]]*Ruimtestaat[[#This Row],[Oppervlak (netto)]]</f>
        <v>7140</v>
      </c>
      <c r="W389" s="242">
        <f>IF(U389&gt;0,Ruimtestaat[[#This Row],[Prest. (m2 /jaar) werkdagen]]/Ruimtestaat[[#This Row],[Norm (m2/uur) werkdagen]],0)</f>
        <v>0</v>
      </c>
      <c r="X389" s="243">
        <f>Ruimtestaat[[#This Row],[uren / jaar werkdagen]]*Tariefsopbouw!$D$38</f>
        <v>0</v>
      </c>
      <c r="Y389" s="33"/>
      <c r="Z389" s="33">
        <f>IF(Ruimtestaat[[#This Row],[Frequentie weekend]]&gt;0,VALUE(LEFT(Y389,1))*R389,0)</f>
        <v>0</v>
      </c>
      <c r="AA389" s="33">
        <f>IF($Z389&gt;0,VLOOKUP($J389,Ruimtegroepen[],3,FALSE)*VLOOKUP($L389,Vloersoorten[],3,FALSE)*VLOOKUP($Y389,Frequenties[],3,FALSE)*VLOOKUP(#REF!,Locaties[],3,FALSE),0)</f>
        <v>0</v>
      </c>
      <c r="AB389" s="33"/>
      <c r="AC389" s="33"/>
      <c r="AD389" s="33">
        <f>Ruimtestaat[[#This Row],[uren / jaar weekend]]*Tariefsopbouw!$D$40</f>
        <v>0</v>
      </c>
      <c r="AE389" s="86">
        <f>Ruimtestaat[[#This Row],[Prest. (m2 /jaar) weekend]]+Ruimtestaat[[#This Row],[Prest. (m2 /jaar) werkdagen]]</f>
        <v>7140</v>
      </c>
      <c r="AF389" s="86">
        <f>Ruimtestaat[[#This Row],[uren / jaar weekend]]+Ruimtestaat[[#This Row],[uren / jaar werkdagen]]</f>
        <v>0</v>
      </c>
      <c r="AG389" s="87">
        <f>Ruimtestaat[[#This Row],[kosten / jaar weekend]]+Ruimtestaat[[#This Row],[kosten / jaar werkdagen]]</f>
        <v>0</v>
      </c>
    </row>
    <row r="390" spans="1:33" ht="15" customHeight="1">
      <c r="A390" s="187">
        <v>4</v>
      </c>
      <c r="B390" s="21" t="str">
        <f>VLOOKUP(Ruimtestaat[[#This Row],[Code]],Locaties[#All],2,FALSE)</f>
        <v xml:space="preserve">Lyceumstraat </v>
      </c>
      <c r="C390" s="247" t="str">
        <f>VLOOKUP(Ruimtestaat[[#This Row],[Code]],Locaties[#All],4,FALSE)</f>
        <v>Lyceumstraat 36</v>
      </c>
      <c r="D390" s="247" t="str">
        <f>VLOOKUP(Ruimtestaat[[#This Row],[Code]],Locaties[#All],5,FALSE)</f>
        <v>7572 CR</v>
      </c>
      <c r="E390" s="187" t="str">
        <f>VLOOKUP(Ruimtestaat[[#This Row],[Code]],Locaties[#All],6,FALSE)</f>
        <v>Oldenzaal</v>
      </c>
      <c r="F390" s="248"/>
      <c r="G390" s="246">
        <v>1</v>
      </c>
      <c r="H390" s="246" t="s">
        <v>1059</v>
      </c>
      <c r="I390" s="248" t="s">
        <v>465</v>
      </c>
      <c r="J390" s="247">
        <v>16</v>
      </c>
      <c r="K390" s="247" t="str">
        <f>VLOOKUP(Ruimtestaat[[#This Row],[Ruimte code]],Ruimtegroepen[#All],2,FALSE)</f>
        <v>Leslokalen/computerlokaal</v>
      </c>
      <c r="L390" s="247" t="s">
        <v>677</v>
      </c>
      <c r="M390" s="249" t="s">
        <v>1200</v>
      </c>
      <c r="N390" s="200">
        <v>59</v>
      </c>
      <c r="O390" s="190"/>
      <c r="P390" s="231" t="str">
        <f>VLOOKUP(Ruimtestaat[[#This Row],[Ruimte code]],Ruimtegroepen[#All],4,FALSE)</f>
        <v>L  (Lesruimte)</v>
      </c>
      <c r="Q390" s="201"/>
      <c r="R390" s="202">
        <v>42</v>
      </c>
      <c r="S390" s="202" t="s">
        <v>2</v>
      </c>
      <c r="T390" s="202">
        <f>IF(R390&gt;0,IF(RIGHT(Ruimtestaat[[#This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90" s="202">
        <f>IF(T390&gt;0,VLOOKUP($J390,Ruimtegroepen[],3,FALSE)*VLOOKUP($L390,Vloersoorten[],3,FALSE)*VLOOKUP($S390,Frequenties[],3,FALSE)*VLOOKUP($A390,Locaties[],3,FALSE),0)</f>
        <v>0</v>
      </c>
      <c r="V390" s="202">
        <f>Ruimtestaat[[#This Row],[Uitvoeringen werkdagen]]*Ruimtestaat[[#This Row],[Oppervlak (netto)]]</f>
        <v>12390</v>
      </c>
      <c r="W390" s="242">
        <f>IF(U390&gt;0,Ruimtestaat[[#This Row],[Prest. (m2 /jaar) werkdagen]]/Ruimtestaat[[#This Row],[Norm (m2/uur) werkdagen]],0)</f>
        <v>0</v>
      </c>
      <c r="X390" s="243">
        <f>Ruimtestaat[[#This Row],[uren / jaar werkdagen]]*Tariefsopbouw!$D$38</f>
        <v>0</v>
      </c>
      <c r="Y390" s="33"/>
      <c r="Z390" s="33">
        <f>IF(Ruimtestaat[[#This Row],[Frequentie weekend]]&gt;0,VALUE(LEFT(Y390,1))*R390,0)</f>
        <v>0</v>
      </c>
      <c r="AA390" s="33">
        <f>IF($Z390&gt;0,VLOOKUP($J390,Ruimtegroepen[],3,FALSE)*VLOOKUP($L390,Vloersoorten[],3,FALSE)*VLOOKUP($Y390,Frequenties[],3,FALSE)*VLOOKUP(#REF!,Locaties[],3,FALSE),0)</f>
        <v>0</v>
      </c>
      <c r="AB390" s="33"/>
      <c r="AC390" s="33"/>
      <c r="AD390" s="33">
        <f>Ruimtestaat[[#This Row],[uren / jaar weekend]]*Tariefsopbouw!$D$40</f>
        <v>0</v>
      </c>
      <c r="AE390" s="86">
        <f>Ruimtestaat[[#This Row],[Prest. (m2 /jaar) weekend]]+Ruimtestaat[[#This Row],[Prest. (m2 /jaar) werkdagen]]</f>
        <v>12390</v>
      </c>
      <c r="AF390" s="86">
        <f>Ruimtestaat[[#This Row],[uren / jaar weekend]]+Ruimtestaat[[#This Row],[uren / jaar werkdagen]]</f>
        <v>0</v>
      </c>
      <c r="AG390" s="87">
        <f>Ruimtestaat[[#This Row],[kosten / jaar weekend]]+Ruimtestaat[[#This Row],[kosten / jaar werkdagen]]</f>
        <v>0</v>
      </c>
    </row>
    <row r="391" spans="1:33" ht="15" customHeight="1">
      <c r="A391" s="187">
        <v>4</v>
      </c>
      <c r="B391" s="21" t="str">
        <f>VLOOKUP(Ruimtestaat[[#This Row],[Code]],Locaties[#All],2,FALSE)</f>
        <v xml:space="preserve">Lyceumstraat </v>
      </c>
      <c r="C391" s="247" t="str">
        <f>VLOOKUP(Ruimtestaat[[#This Row],[Code]],Locaties[#All],4,FALSE)</f>
        <v>Lyceumstraat 36</v>
      </c>
      <c r="D391" s="247" t="str">
        <f>VLOOKUP(Ruimtestaat[[#This Row],[Code]],Locaties[#All],5,FALSE)</f>
        <v>7572 CR</v>
      </c>
      <c r="E391" s="187" t="str">
        <f>VLOOKUP(Ruimtestaat[[#This Row],[Code]],Locaties[#All],6,FALSE)</f>
        <v>Oldenzaal</v>
      </c>
      <c r="F391" s="248"/>
      <c r="G391" s="246">
        <v>1</v>
      </c>
      <c r="H391" s="246" t="s">
        <v>1060</v>
      </c>
      <c r="I391" s="248" t="s">
        <v>1010</v>
      </c>
      <c r="J391" s="187">
        <v>14</v>
      </c>
      <c r="K391" s="187" t="str">
        <f>VLOOKUP(Ruimtestaat[[#This Row],[Ruimte code]],Ruimtegroepen[#All],2,FALSE)</f>
        <v>Praktijklokalen/kabinet</v>
      </c>
      <c r="L391" s="247" t="s">
        <v>677</v>
      </c>
      <c r="M391" s="249" t="s">
        <v>1200</v>
      </c>
      <c r="N391" s="200">
        <v>105</v>
      </c>
      <c r="O391" s="190"/>
      <c r="P391" s="231" t="str">
        <f>VLOOKUP(Ruimtestaat[[#This Row],[Ruimte code]],Ruimtegroepen[#All],4,FALSE)</f>
        <v>L  (Lesruimte)</v>
      </c>
      <c r="Q391" s="201"/>
      <c r="R391" s="202">
        <v>42</v>
      </c>
      <c r="S391" s="202" t="s">
        <v>2</v>
      </c>
      <c r="T391" s="202">
        <f>IF(R391&gt;0,IF(RIGHT(Ruimtestaat[[#This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91" s="202">
        <f>IF(T391&gt;0,VLOOKUP($J391,Ruimtegroepen[],3,FALSE)*VLOOKUP($L391,Vloersoorten[],3,FALSE)*VLOOKUP($S391,Frequenties[],3,FALSE)*VLOOKUP($A391,Locaties[],3,FALSE),0)</f>
        <v>0</v>
      </c>
      <c r="V391" s="202">
        <f>Ruimtestaat[[#This Row],[Uitvoeringen werkdagen]]*Ruimtestaat[[#This Row],[Oppervlak (netto)]]</f>
        <v>22050</v>
      </c>
      <c r="W391" s="242">
        <f>IF(U391&gt;0,Ruimtestaat[[#This Row],[Prest. (m2 /jaar) werkdagen]]/Ruimtestaat[[#This Row],[Norm (m2/uur) werkdagen]],0)</f>
        <v>0</v>
      </c>
      <c r="X391" s="243">
        <f>Ruimtestaat[[#This Row],[uren / jaar werkdagen]]*Tariefsopbouw!$D$38</f>
        <v>0</v>
      </c>
      <c r="Y391" s="33"/>
      <c r="Z391" s="33">
        <f>IF(Ruimtestaat[[#This Row],[Frequentie weekend]]&gt;0,VALUE(LEFT(Y391,1))*R391,0)</f>
        <v>0</v>
      </c>
      <c r="AA391" s="33">
        <f>IF($Z391&gt;0,VLOOKUP($J391,Ruimtegroepen[],3,FALSE)*VLOOKUP($L391,Vloersoorten[],3,FALSE)*VLOOKUP($Y391,Frequenties[],3,FALSE)*VLOOKUP(#REF!,Locaties[],3,FALSE),0)</f>
        <v>0</v>
      </c>
      <c r="AB391" s="33"/>
      <c r="AC391" s="33"/>
      <c r="AD391" s="33">
        <f>Ruimtestaat[[#This Row],[uren / jaar weekend]]*Tariefsopbouw!$D$40</f>
        <v>0</v>
      </c>
      <c r="AE391" s="86">
        <f>Ruimtestaat[[#This Row],[Prest. (m2 /jaar) weekend]]+Ruimtestaat[[#This Row],[Prest. (m2 /jaar) werkdagen]]</f>
        <v>22050</v>
      </c>
      <c r="AF391" s="86">
        <f>Ruimtestaat[[#This Row],[uren / jaar weekend]]+Ruimtestaat[[#This Row],[uren / jaar werkdagen]]</f>
        <v>0</v>
      </c>
      <c r="AG391" s="87">
        <f>Ruimtestaat[[#This Row],[kosten / jaar weekend]]+Ruimtestaat[[#This Row],[kosten / jaar werkdagen]]</f>
        <v>0</v>
      </c>
    </row>
    <row r="392" spans="1:33" ht="15" customHeight="1">
      <c r="A392" s="187">
        <v>4</v>
      </c>
      <c r="B392" s="21" t="str">
        <f>VLOOKUP(Ruimtestaat[[#This Row],[Code]],Locaties[#All],2,FALSE)</f>
        <v xml:space="preserve">Lyceumstraat </v>
      </c>
      <c r="C392" s="247" t="str">
        <f>VLOOKUP(Ruimtestaat[[#This Row],[Code]],Locaties[#All],4,FALSE)</f>
        <v>Lyceumstraat 36</v>
      </c>
      <c r="D392" s="247" t="str">
        <f>VLOOKUP(Ruimtestaat[[#This Row],[Code]],Locaties[#All],5,FALSE)</f>
        <v>7572 CR</v>
      </c>
      <c r="E392" s="187" t="str">
        <f>VLOOKUP(Ruimtestaat[[#This Row],[Code]],Locaties[#All],6,FALSE)</f>
        <v>Oldenzaal</v>
      </c>
      <c r="F392" s="248"/>
      <c r="G392" s="246">
        <v>1</v>
      </c>
      <c r="H392" s="246" t="s">
        <v>1061</v>
      </c>
      <c r="I392" s="248" t="s">
        <v>465</v>
      </c>
      <c r="J392" s="187">
        <v>16</v>
      </c>
      <c r="K392" s="187" t="str">
        <f>VLOOKUP(Ruimtestaat[[#This Row],[Ruimte code]],Ruimtegroepen[#All],2,FALSE)</f>
        <v>Leslokalen/computerlokaal</v>
      </c>
      <c r="L392" s="247" t="s">
        <v>677</v>
      </c>
      <c r="M392" s="249" t="s">
        <v>1200</v>
      </c>
      <c r="N392" s="200">
        <v>60</v>
      </c>
      <c r="O392" s="190"/>
      <c r="P392" s="231" t="str">
        <f>VLOOKUP(Ruimtestaat[[#This Row],[Ruimte code]],Ruimtegroepen[#All],4,FALSE)</f>
        <v>L  (Lesruimte)</v>
      </c>
      <c r="Q392" s="201"/>
      <c r="R392" s="202">
        <v>42</v>
      </c>
      <c r="S392" s="202" t="s">
        <v>2</v>
      </c>
      <c r="T392" s="202">
        <f>IF(R392&gt;0,IF(RIGHT(Ruimtestaat[[#This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92" s="202">
        <f>IF(T392&gt;0,VLOOKUP($J392,Ruimtegroepen[],3,FALSE)*VLOOKUP($L392,Vloersoorten[],3,FALSE)*VLOOKUP($S392,Frequenties[],3,FALSE)*VLOOKUP($A392,Locaties[],3,FALSE),0)</f>
        <v>0</v>
      </c>
      <c r="V392" s="202">
        <f>Ruimtestaat[[#This Row],[Uitvoeringen werkdagen]]*Ruimtestaat[[#This Row],[Oppervlak (netto)]]</f>
        <v>12600</v>
      </c>
      <c r="W392" s="242">
        <f>IF(U392&gt;0,Ruimtestaat[[#This Row],[Prest. (m2 /jaar) werkdagen]]/Ruimtestaat[[#This Row],[Norm (m2/uur) werkdagen]],0)</f>
        <v>0</v>
      </c>
      <c r="X392" s="243">
        <f>Ruimtestaat[[#This Row],[uren / jaar werkdagen]]*Tariefsopbouw!$D$38</f>
        <v>0</v>
      </c>
      <c r="Y392" s="33"/>
      <c r="Z392" s="33">
        <f>IF(Ruimtestaat[[#This Row],[Frequentie weekend]]&gt;0,VALUE(LEFT(Y392,1))*R392,0)</f>
        <v>0</v>
      </c>
      <c r="AA392" s="33">
        <f>IF($Z392&gt;0,VLOOKUP($J392,Ruimtegroepen[],3,FALSE)*VLOOKUP($L392,Vloersoorten[],3,FALSE)*VLOOKUP($Y392,Frequenties[],3,FALSE)*VLOOKUP(#REF!,Locaties[],3,FALSE),0)</f>
        <v>0</v>
      </c>
      <c r="AB392" s="33"/>
      <c r="AC392" s="33"/>
      <c r="AD392" s="33">
        <f>Ruimtestaat[[#This Row],[uren / jaar weekend]]*Tariefsopbouw!$D$40</f>
        <v>0</v>
      </c>
      <c r="AE392" s="86">
        <f>Ruimtestaat[[#This Row],[Prest. (m2 /jaar) weekend]]+Ruimtestaat[[#This Row],[Prest. (m2 /jaar) werkdagen]]</f>
        <v>12600</v>
      </c>
      <c r="AF392" s="86">
        <f>Ruimtestaat[[#This Row],[uren / jaar weekend]]+Ruimtestaat[[#This Row],[uren / jaar werkdagen]]</f>
        <v>0</v>
      </c>
      <c r="AG392" s="87">
        <f>Ruimtestaat[[#This Row],[kosten / jaar weekend]]+Ruimtestaat[[#This Row],[kosten / jaar werkdagen]]</f>
        <v>0</v>
      </c>
    </row>
    <row r="393" spans="1:33" ht="15" customHeight="1">
      <c r="A393" s="187">
        <v>4</v>
      </c>
      <c r="B393" s="21" t="str">
        <f>VLOOKUP(Ruimtestaat[[#This Row],[Code]],Locaties[#All],2,FALSE)</f>
        <v xml:space="preserve">Lyceumstraat </v>
      </c>
      <c r="C393" s="247" t="str">
        <f>VLOOKUP(Ruimtestaat[[#This Row],[Code]],Locaties[#All],4,FALSE)</f>
        <v>Lyceumstraat 36</v>
      </c>
      <c r="D393" s="247" t="str">
        <f>VLOOKUP(Ruimtestaat[[#This Row],[Code]],Locaties[#All],5,FALSE)</f>
        <v>7572 CR</v>
      </c>
      <c r="E393" s="187" t="str">
        <f>VLOOKUP(Ruimtestaat[[#This Row],[Code]],Locaties[#All],6,FALSE)</f>
        <v>Oldenzaal</v>
      </c>
      <c r="F393" s="248"/>
      <c r="G393" s="246">
        <v>1</v>
      </c>
      <c r="H393" s="246" t="s">
        <v>1062</v>
      </c>
      <c r="I393" s="248" t="s">
        <v>1010</v>
      </c>
      <c r="J393" s="247">
        <v>14</v>
      </c>
      <c r="K393" s="247" t="str">
        <f>VLOOKUP(Ruimtestaat[[#This Row],[Ruimte code]],Ruimtegroepen[#All],2,FALSE)</f>
        <v>Praktijklokalen/kabinet</v>
      </c>
      <c r="L393" s="247" t="s">
        <v>677</v>
      </c>
      <c r="M393" s="249" t="s">
        <v>1200</v>
      </c>
      <c r="N393" s="200">
        <v>105</v>
      </c>
      <c r="O393" s="190"/>
      <c r="P393" s="231" t="str">
        <f>VLOOKUP(Ruimtestaat[[#This Row],[Ruimte code]],Ruimtegroepen[#All],4,FALSE)</f>
        <v>L  (Lesruimte)</v>
      </c>
      <c r="Q393" s="201"/>
      <c r="R393" s="202">
        <v>42</v>
      </c>
      <c r="S393" s="202" t="s">
        <v>2</v>
      </c>
      <c r="T393" s="202">
        <f>IF(R393&gt;0,IF(RIGHT(Ruimtestaat[[#This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93" s="202">
        <f>IF(T393&gt;0,VLOOKUP($J393,Ruimtegroepen[],3,FALSE)*VLOOKUP($L393,Vloersoorten[],3,FALSE)*VLOOKUP($S393,Frequenties[],3,FALSE)*VLOOKUP($A393,Locaties[],3,FALSE),0)</f>
        <v>0</v>
      </c>
      <c r="V393" s="202">
        <f>Ruimtestaat[[#This Row],[Uitvoeringen werkdagen]]*Ruimtestaat[[#This Row],[Oppervlak (netto)]]</f>
        <v>22050</v>
      </c>
      <c r="W393" s="242">
        <f>IF(U393&gt;0,Ruimtestaat[[#This Row],[Prest. (m2 /jaar) werkdagen]]/Ruimtestaat[[#This Row],[Norm (m2/uur) werkdagen]],0)</f>
        <v>0</v>
      </c>
      <c r="X393" s="243">
        <f>Ruimtestaat[[#This Row],[uren / jaar werkdagen]]*Tariefsopbouw!$D$38</f>
        <v>0</v>
      </c>
      <c r="Y393" s="33"/>
      <c r="Z393" s="33">
        <f>IF(Ruimtestaat[[#This Row],[Frequentie weekend]]&gt;0,VALUE(LEFT(Y393,1))*R393,0)</f>
        <v>0</v>
      </c>
      <c r="AA393" s="33">
        <f>IF($Z393&gt;0,VLOOKUP($J393,Ruimtegroepen[],3,FALSE)*VLOOKUP($L393,Vloersoorten[],3,FALSE)*VLOOKUP($Y393,Frequenties[],3,FALSE)*VLOOKUP(#REF!,Locaties[],3,FALSE),0)</f>
        <v>0</v>
      </c>
      <c r="AB393" s="33"/>
      <c r="AC393" s="33"/>
      <c r="AD393" s="33">
        <f>Ruimtestaat[[#This Row],[uren / jaar weekend]]*Tariefsopbouw!$D$40</f>
        <v>0</v>
      </c>
      <c r="AE393" s="86">
        <f>Ruimtestaat[[#This Row],[Prest. (m2 /jaar) weekend]]+Ruimtestaat[[#This Row],[Prest. (m2 /jaar) werkdagen]]</f>
        <v>22050</v>
      </c>
      <c r="AF393" s="86">
        <f>Ruimtestaat[[#This Row],[uren / jaar weekend]]+Ruimtestaat[[#This Row],[uren / jaar werkdagen]]</f>
        <v>0</v>
      </c>
      <c r="AG393" s="87">
        <f>Ruimtestaat[[#This Row],[kosten / jaar weekend]]+Ruimtestaat[[#This Row],[kosten / jaar werkdagen]]</f>
        <v>0</v>
      </c>
    </row>
    <row r="394" spans="1:33" ht="15" customHeight="1">
      <c r="A394" s="187">
        <v>4</v>
      </c>
      <c r="B394" s="21" t="str">
        <f>VLOOKUP(Ruimtestaat[[#This Row],[Code]],Locaties[#All],2,FALSE)</f>
        <v xml:space="preserve">Lyceumstraat </v>
      </c>
      <c r="C394" s="247" t="str">
        <f>VLOOKUP(Ruimtestaat[[#This Row],[Code]],Locaties[#All],4,FALSE)</f>
        <v>Lyceumstraat 36</v>
      </c>
      <c r="D394" s="247" t="str">
        <f>VLOOKUP(Ruimtestaat[[#This Row],[Code]],Locaties[#All],5,FALSE)</f>
        <v>7572 CR</v>
      </c>
      <c r="E394" s="187" t="str">
        <f>VLOOKUP(Ruimtestaat[[#This Row],[Code]],Locaties[#All],6,FALSE)</f>
        <v>Oldenzaal</v>
      </c>
      <c r="F394" s="248"/>
      <c r="G394" s="246">
        <v>1</v>
      </c>
      <c r="H394" s="246" t="s">
        <v>1063</v>
      </c>
      <c r="I394" s="248" t="s">
        <v>917</v>
      </c>
      <c r="J394" s="187">
        <v>2</v>
      </c>
      <c r="K394" s="187" t="str">
        <f>VLOOKUP(Ruimtestaat[[#This Row],[Ruimte code]],Ruimtegroepen[#All],2,FALSE)</f>
        <v>Kantoren/kantoortuin</v>
      </c>
      <c r="L394" s="247" t="s">
        <v>1204</v>
      </c>
      <c r="M394" s="249" t="s">
        <v>1205</v>
      </c>
      <c r="N394" s="200">
        <v>25</v>
      </c>
      <c r="O394" s="190"/>
      <c r="P394" s="231" t="str">
        <f>VLOOKUP(Ruimtestaat[[#This Row],[Ruimte code]],Ruimtegroepen[#All],4,FALSE)</f>
        <v>B  (Bureauruimte)</v>
      </c>
      <c r="Q394" s="201"/>
      <c r="R394" s="202">
        <v>42</v>
      </c>
      <c r="S394" s="202" t="s">
        <v>2</v>
      </c>
      <c r="T394" s="202">
        <f>IF(R394&gt;0,IF(RIGHT(Ruimtestaat[[#This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94" s="202">
        <f>IF(T394&gt;0,VLOOKUP($J394,Ruimtegroepen[],3,FALSE)*VLOOKUP($L394,Vloersoorten[],3,FALSE)*VLOOKUP($S394,Frequenties[],3,FALSE)*VLOOKUP($A394,Locaties[],3,FALSE),0)</f>
        <v>0</v>
      </c>
      <c r="V394" s="202">
        <f>Ruimtestaat[[#This Row],[Uitvoeringen werkdagen]]*Ruimtestaat[[#This Row],[Oppervlak (netto)]]</f>
        <v>5250</v>
      </c>
      <c r="W394" s="242">
        <f>IF(U394&gt;0,Ruimtestaat[[#This Row],[Prest. (m2 /jaar) werkdagen]]/Ruimtestaat[[#This Row],[Norm (m2/uur) werkdagen]],0)</f>
        <v>0</v>
      </c>
      <c r="X394" s="243">
        <f>Ruimtestaat[[#This Row],[uren / jaar werkdagen]]*Tariefsopbouw!$D$38</f>
        <v>0</v>
      </c>
      <c r="Y394" s="33"/>
      <c r="Z394" s="33">
        <f>IF(Ruimtestaat[[#This Row],[Frequentie weekend]]&gt;0,VALUE(LEFT(Y394,1))*R394,0)</f>
        <v>0</v>
      </c>
      <c r="AA394" s="33">
        <f>IF($Z394&gt;0,VLOOKUP($J394,Ruimtegroepen[],3,FALSE)*VLOOKUP($L394,Vloersoorten[],3,FALSE)*VLOOKUP($Y394,Frequenties[],3,FALSE)*VLOOKUP(#REF!,Locaties[],3,FALSE),0)</f>
        <v>0</v>
      </c>
      <c r="AB394" s="33"/>
      <c r="AC394" s="33"/>
      <c r="AD394" s="33">
        <f>Ruimtestaat[[#This Row],[uren / jaar weekend]]*Tariefsopbouw!$D$40</f>
        <v>0</v>
      </c>
      <c r="AE394" s="86">
        <f>Ruimtestaat[[#This Row],[Prest. (m2 /jaar) weekend]]+Ruimtestaat[[#This Row],[Prest. (m2 /jaar) werkdagen]]</f>
        <v>5250</v>
      </c>
      <c r="AF394" s="86">
        <f>Ruimtestaat[[#This Row],[uren / jaar weekend]]+Ruimtestaat[[#This Row],[uren / jaar werkdagen]]</f>
        <v>0</v>
      </c>
      <c r="AG394" s="87">
        <f>Ruimtestaat[[#This Row],[kosten / jaar weekend]]+Ruimtestaat[[#This Row],[kosten / jaar werkdagen]]</f>
        <v>0</v>
      </c>
    </row>
    <row r="395" spans="1:33" ht="15" customHeight="1">
      <c r="A395" s="187">
        <v>4</v>
      </c>
      <c r="B395" s="21" t="str">
        <f>VLOOKUP(Ruimtestaat[[#This Row],[Code]],Locaties[#All],2,FALSE)</f>
        <v xml:space="preserve">Lyceumstraat </v>
      </c>
      <c r="C395" s="247" t="str">
        <f>VLOOKUP(Ruimtestaat[[#This Row],[Code]],Locaties[#All],4,FALSE)</f>
        <v>Lyceumstraat 36</v>
      </c>
      <c r="D395" s="247" t="str">
        <f>VLOOKUP(Ruimtestaat[[#This Row],[Code]],Locaties[#All],5,FALSE)</f>
        <v>7572 CR</v>
      </c>
      <c r="E395" s="187" t="str">
        <f>VLOOKUP(Ruimtestaat[[#This Row],[Code]],Locaties[#All],6,FALSE)</f>
        <v>Oldenzaal</v>
      </c>
      <c r="F395" s="248"/>
      <c r="G395" s="246">
        <v>1</v>
      </c>
      <c r="H395" s="246" t="s">
        <v>1064</v>
      </c>
      <c r="I395" s="248" t="s">
        <v>917</v>
      </c>
      <c r="J395" s="187">
        <v>2</v>
      </c>
      <c r="K395" s="187" t="str">
        <f>VLOOKUP(Ruimtestaat[[#This Row],[Ruimte code]],Ruimtegroepen[#All],2,FALSE)</f>
        <v>Kantoren/kantoortuin</v>
      </c>
      <c r="L395" s="247" t="s">
        <v>1204</v>
      </c>
      <c r="M395" s="249" t="s">
        <v>1205</v>
      </c>
      <c r="N395" s="200">
        <v>25</v>
      </c>
      <c r="O395" s="190"/>
      <c r="P395" s="231" t="str">
        <f>VLOOKUP(Ruimtestaat[[#This Row],[Ruimte code]],Ruimtegroepen[#All],4,FALSE)</f>
        <v>B  (Bureauruimte)</v>
      </c>
      <c r="Q395" s="201"/>
      <c r="R395" s="202">
        <v>42</v>
      </c>
      <c r="S395" s="202" t="s">
        <v>2</v>
      </c>
      <c r="T395" s="202">
        <f>IF(R395&gt;0,IF(RIGHT(Ruimtestaat[[#This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95" s="202">
        <f>IF(T395&gt;0,VLOOKUP($J395,Ruimtegroepen[],3,FALSE)*VLOOKUP($L395,Vloersoorten[],3,FALSE)*VLOOKUP($S395,Frequenties[],3,FALSE)*VLOOKUP($A395,Locaties[],3,FALSE),0)</f>
        <v>0</v>
      </c>
      <c r="V395" s="202">
        <f>Ruimtestaat[[#This Row],[Uitvoeringen werkdagen]]*Ruimtestaat[[#This Row],[Oppervlak (netto)]]</f>
        <v>5250</v>
      </c>
      <c r="W395" s="242">
        <f>IF(U395&gt;0,Ruimtestaat[[#This Row],[Prest. (m2 /jaar) werkdagen]]/Ruimtestaat[[#This Row],[Norm (m2/uur) werkdagen]],0)</f>
        <v>0</v>
      </c>
      <c r="X395" s="243">
        <f>Ruimtestaat[[#This Row],[uren / jaar werkdagen]]*Tariefsopbouw!$D$38</f>
        <v>0</v>
      </c>
      <c r="Y395" s="33"/>
      <c r="Z395" s="33">
        <f>IF(Ruimtestaat[[#This Row],[Frequentie weekend]]&gt;0,VALUE(LEFT(Y395,1))*R395,0)</f>
        <v>0</v>
      </c>
      <c r="AA395" s="33">
        <f>IF($Z395&gt;0,VLOOKUP($J395,Ruimtegroepen[],3,FALSE)*VLOOKUP($L395,Vloersoorten[],3,FALSE)*VLOOKUP($Y395,Frequenties[],3,FALSE)*VLOOKUP(#REF!,Locaties[],3,FALSE),0)</f>
        <v>0</v>
      </c>
      <c r="AB395" s="33"/>
      <c r="AC395" s="33"/>
      <c r="AD395" s="33">
        <f>Ruimtestaat[[#This Row],[uren / jaar weekend]]*Tariefsopbouw!$D$40</f>
        <v>0</v>
      </c>
      <c r="AE395" s="86">
        <f>Ruimtestaat[[#This Row],[Prest. (m2 /jaar) weekend]]+Ruimtestaat[[#This Row],[Prest. (m2 /jaar) werkdagen]]</f>
        <v>5250</v>
      </c>
      <c r="AF395" s="86">
        <f>Ruimtestaat[[#This Row],[uren / jaar weekend]]+Ruimtestaat[[#This Row],[uren / jaar werkdagen]]</f>
        <v>0</v>
      </c>
      <c r="AG395" s="87">
        <f>Ruimtestaat[[#This Row],[kosten / jaar weekend]]+Ruimtestaat[[#This Row],[kosten / jaar werkdagen]]</f>
        <v>0</v>
      </c>
    </row>
    <row r="396" spans="1:33" ht="15" customHeight="1">
      <c r="A396" s="187">
        <v>4</v>
      </c>
      <c r="B396" s="21" t="str">
        <f>VLOOKUP(Ruimtestaat[[#This Row],[Code]],Locaties[#All],2,FALSE)</f>
        <v xml:space="preserve">Lyceumstraat </v>
      </c>
      <c r="C396" s="247" t="str">
        <f>VLOOKUP(Ruimtestaat[[#This Row],[Code]],Locaties[#All],4,FALSE)</f>
        <v>Lyceumstraat 36</v>
      </c>
      <c r="D396" s="247" t="str">
        <f>VLOOKUP(Ruimtestaat[[#This Row],[Code]],Locaties[#All],5,FALSE)</f>
        <v>7572 CR</v>
      </c>
      <c r="E396" s="187" t="str">
        <f>VLOOKUP(Ruimtestaat[[#This Row],[Code]],Locaties[#All],6,FALSE)</f>
        <v>Oldenzaal</v>
      </c>
      <c r="F396" s="248"/>
      <c r="G396" s="246">
        <v>1</v>
      </c>
      <c r="H396" s="246" t="s">
        <v>1065</v>
      </c>
      <c r="I396" s="248" t="s">
        <v>590</v>
      </c>
      <c r="J396" s="247">
        <v>2</v>
      </c>
      <c r="K396" s="247" t="str">
        <f>VLOOKUP(Ruimtestaat[[#This Row],[Ruimte code]],Ruimtegroepen[#All],2,FALSE)</f>
        <v>Kantoren/kantoortuin</v>
      </c>
      <c r="L396" s="247" t="s">
        <v>1204</v>
      </c>
      <c r="M396" s="249" t="s">
        <v>1205</v>
      </c>
      <c r="N396" s="200">
        <v>15</v>
      </c>
      <c r="O396" s="190"/>
      <c r="P396" s="231" t="str">
        <f>VLOOKUP(Ruimtestaat[[#This Row],[Ruimte code]],Ruimtegroepen[#All],4,FALSE)</f>
        <v>B  (Bureauruimte)</v>
      </c>
      <c r="Q396" s="201"/>
      <c r="R396" s="202">
        <v>42</v>
      </c>
      <c r="S396" s="202" t="s">
        <v>2</v>
      </c>
      <c r="T396" s="202">
        <f>IF(R396&gt;0,IF(RIGHT(Ruimtestaat[[#This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96" s="202">
        <f>IF(T396&gt;0,VLOOKUP($J396,Ruimtegroepen[],3,FALSE)*VLOOKUP($L396,Vloersoorten[],3,FALSE)*VLOOKUP($S396,Frequenties[],3,FALSE)*VLOOKUP($A396,Locaties[],3,FALSE),0)</f>
        <v>0</v>
      </c>
      <c r="V396" s="202">
        <f>Ruimtestaat[[#This Row],[Uitvoeringen werkdagen]]*Ruimtestaat[[#This Row],[Oppervlak (netto)]]</f>
        <v>3150</v>
      </c>
      <c r="W396" s="242">
        <f>IF(U396&gt;0,Ruimtestaat[[#This Row],[Prest. (m2 /jaar) werkdagen]]/Ruimtestaat[[#This Row],[Norm (m2/uur) werkdagen]],0)</f>
        <v>0</v>
      </c>
      <c r="X396" s="243">
        <f>Ruimtestaat[[#This Row],[uren / jaar werkdagen]]*Tariefsopbouw!$D$38</f>
        <v>0</v>
      </c>
      <c r="Y396" s="33"/>
      <c r="Z396" s="33">
        <f>IF(Ruimtestaat[[#This Row],[Frequentie weekend]]&gt;0,VALUE(LEFT(Y396,1))*R396,0)</f>
        <v>0</v>
      </c>
      <c r="AA396" s="33">
        <f>IF($Z396&gt;0,VLOOKUP($J396,Ruimtegroepen[],3,FALSE)*VLOOKUP($L396,Vloersoorten[],3,FALSE)*VLOOKUP($Y396,Frequenties[],3,FALSE)*VLOOKUP(#REF!,Locaties[],3,FALSE),0)</f>
        <v>0</v>
      </c>
      <c r="AB396" s="33"/>
      <c r="AC396" s="33"/>
      <c r="AD396" s="33">
        <f>Ruimtestaat[[#This Row],[uren / jaar weekend]]*Tariefsopbouw!$D$40</f>
        <v>0</v>
      </c>
      <c r="AE396" s="86">
        <f>Ruimtestaat[[#This Row],[Prest. (m2 /jaar) weekend]]+Ruimtestaat[[#This Row],[Prest. (m2 /jaar) werkdagen]]</f>
        <v>3150</v>
      </c>
      <c r="AF396" s="86">
        <f>Ruimtestaat[[#This Row],[uren / jaar weekend]]+Ruimtestaat[[#This Row],[uren / jaar werkdagen]]</f>
        <v>0</v>
      </c>
      <c r="AG396" s="87">
        <f>Ruimtestaat[[#This Row],[kosten / jaar weekend]]+Ruimtestaat[[#This Row],[kosten / jaar werkdagen]]</f>
        <v>0</v>
      </c>
    </row>
    <row r="397" spans="1:33" ht="15" customHeight="1">
      <c r="A397" s="187">
        <v>4</v>
      </c>
      <c r="B397" s="21" t="str">
        <f>VLOOKUP(Ruimtestaat[[#This Row],[Code]],Locaties[#All],2,FALSE)</f>
        <v xml:space="preserve">Lyceumstraat </v>
      </c>
      <c r="C397" s="247" t="str">
        <f>VLOOKUP(Ruimtestaat[[#This Row],[Code]],Locaties[#All],4,FALSE)</f>
        <v>Lyceumstraat 36</v>
      </c>
      <c r="D397" s="247" t="str">
        <f>VLOOKUP(Ruimtestaat[[#This Row],[Code]],Locaties[#All],5,FALSE)</f>
        <v>7572 CR</v>
      </c>
      <c r="E397" s="187" t="str">
        <f>VLOOKUP(Ruimtestaat[[#This Row],[Code]],Locaties[#All],6,FALSE)</f>
        <v>Oldenzaal</v>
      </c>
      <c r="F397" s="248"/>
      <c r="G397" s="246">
        <v>1</v>
      </c>
      <c r="H397" s="246" t="s">
        <v>1066</v>
      </c>
      <c r="I397" s="248" t="s">
        <v>591</v>
      </c>
      <c r="J397" s="187">
        <v>5</v>
      </c>
      <c r="K397" s="187" t="str">
        <f>VLOOKUP(Ruimtestaat[[#This Row],[Ruimte code]],Ruimtegroepen[#All],2,FALSE)</f>
        <v>Sanitair</v>
      </c>
      <c r="L397" s="247" t="s">
        <v>677</v>
      </c>
      <c r="M397" s="249" t="s">
        <v>1200</v>
      </c>
      <c r="N397" s="200">
        <v>22</v>
      </c>
      <c r="O397" s="190"/>
      <c r="P397" s="231" t="str">
        <f>VLOOKUP(Ruimtestaat[[#This Row],[Ruimte code]],Ruimtegroepen[#All],4,FALSE)</f>
        <v>S  (Sanitair)</v>
      </c>
      <c r="Q397" s="201"/>
      <c r="R397" s="202">
        <v>42</v>
      </c>
      <c r="S397" s="202" t="s">
        <v>19</v>
      </c>
      <c r="T397" s="202">
        <f>IF(R397&gt;0,IF(RIGHT(Ruimtestaat[[#This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397" s="202">
        <f>IF(T397&gt;0,VLOOKUP($J397,Ruimtegroepen[],3,FALSE)*VLOOKUP($L397,Vloersoorten[],3,FALSE)*VLOOKUP($S397,Frequenties[],3,FALSE)*VLOOKUP($A397,Locaties[],3,FALSE),0)</f>
        <v>0</v>
      </c>
      <c r="V397" s="202">
        <f>Ruimtestaat[[#This Row],[Uitvoeringen werkdagen]]*Ruimtestaat[[#This Row],[Oppervlak (netto)]]</f>
        <v>9240</v>
      </c>
      <c r="W397" s="242">
        <f>IF(U397&gt;0,Ruimtestaat[[#This Row],[Prest. (m2 /jaar) werkdagen]]/Ruimtestaat[[#This Row],[Norm (m2/uur) werkdagen]],0)</f>
        <v>0</v>
      </c>
      <c r="X397" s="243">
        <f>Ruimtestaat[[#This Row],[uren / jaar werkdagen]]*Tariefsopbouw!$D$38</f>
        <v>0</v>
      </c>
      <c r="Y397" s="33"/>
      <c r="Z397" s="33">
        <f>IF(Ruimtestaat[[#This Row],[Frequentie weekend]]&gt;0,VALUE(LEFT(Y397,1))*R397,0)</f>
        <v>0</v>
      </c>
      <c r="AA397" s="33">
        <f>IF($Z397&gt;0,VLOOKUP($J397,Ruimtegroepen[],3,FALSE)*VLOOKUP($L397,Vloersoorten[],3,FALSE)*VLOOKUP($Y397,Frequenties[],3,FALSE)*VLOOKUP(#REF!,Locaties[],3,FALSE),0)</f>
        <v>0</v>
      </c>
      <c r="AB397" s="33"/>
      <c r="AC397" s="33"/>
      <c r="AD397" s="33">
        <f>Ruimtestaat[[#This Row],[uren / jaar weekend]]*Tariefsopbouw!$D$40</f>
        <v>0</v>
      </c>
      <c r="AE397" s="86">
        <f>Ruimtestaat[[#This Row],[Prest. (m2 /jaar) weekend]]+Ruimtestaat[[#This Row],[Prest. (m2 /jaar) werkdagen]]</f>
        <v>9240</v>
      </c>
      <c r="AF397" s="86">
        <f>Ruimtestaat[[#This Row],[uren / jaar weekend]]+Ruimtestaat[[#This Row],[uren / jaar werkdagen]]</f>
        <v>0</v>
      </c>
      <c r="AG397" s="87">
        <f>Ruimtestaat[[#This Row],[kosten / jaar weekend]]+Ruimtestaat[[#This Row],[kosten / jaar werkdagen]]</f>
        <v>0</v>
      </c>
    </row>
    <row r="398" spans="1:33" ht="15" customHeight="1">
      <c r="A398" s="187">
        <v>4</v>
      </c>
      <c r="B398" s="21" t="str">
        <f>VLOOKUP(Ruimtestaat[[#This Row],[Code]],Locaties[#All],2,FALSE)</f>
        <v xml:space="preserve">Lyceumstraat </v>
      </c>
      <c r="C398" s="247" t="str">
        <f>VLOOKUP(Ruimtestaat[[#This Row],[Code]],Locaties[#All],4,FALSE)</f>
        <v>Lyceumstraat 36</v>
      </c>
      <c r="D398" s="247" t="str">
        <f>VLOOKUP(Ruimtestaat[[#This Row],[Code]],Locaties[#All],5,FALSE)</f>
        <v>7572 CR</v>
      </c>
      <c r="E398" s="187" t="str">
        <f>VLOOKUP(Ruimtestaat[[#This Row],[Code]],Locaties[#All],6,FALSE)</f>
        <v>Oldenzaal</v>
      </c>
      <c r="F398" s="248"/>
      <c r="G398" s="246">
        <v>1</v>
      </c>
      <c r="H398" s="246" t="s">
        <v>1067</v>
      </c>
      <c r="I398" s="248" t="s">
        <v>608</v>
      </c>
      <c r="J398" s="187">
        <v>5</v>
      </c>
      <c r="K398" s="187" t="str">
        <f>VLOOKUP(Ruimtestaat[[#This Row],[Ruimte code]],Ruimtegroepen[#All],2,FALSE)</f>
        <v>Sanitair</v>
      </c>
      <c r="L398" s="247" t="s">
        <v>677</v>
      </c>
      <c r="M398" s="249" t="s">
        <v>1200</v>
      </c>
      <c r="N398" s="200">
        <v>23</v>
      </c>
      <c r="O398" s="190"/>
      <c r="P398" s="231" t="str">
        <f>VLOOKUP(Ruimtestaat[[#This Row],[Ruimte code]],Ruimtegroepen[#All],4,FALSE)</f>
        <v>S  (Sanitair)</v>
      </c>
      <c r="Q398" s="201"/>
      <c r="R398" s="202">
        <v>42</v>
      </c>
      <c r="S398" s="202" t="s">
        <v>19</v>
      </c>
      <c r="T398" s="202">
        <f>IF(R398&gt;0,IF(RIGHT(Ruimtestaat[[#This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398" s="202">
        <f>IF(T398&gt;0,VLOOKUP($J398,Ruimtegroepen[],3,FALSE)*VLOOKUP($L398,Vloersoorten[],3,FALSE)*VLOOKUP($S398,Frequenties[],3,FALSE)*VLOOKUP($A398,Locaties[],3,FALSE),0)</f>
        <v>0</v>
      </c>
      <c r="V398" s="202">
        <f>Ruimtestaat[[#This Row],[Uitvoeringen werkdagen]]*Ruimtestaat[[#This Row],[Oppervlak (netto)]]</f>
        <v>9660</v>
      </c>
      <c r="W398" s="242">
        <f>IF(U398&gt;0,Ruimtestaat[[#This Row],[Prest. (m2 /jaar) werkdagen]]/Ruimtestaat[[#This Row],[Norm (m2/uur) werkdagen]],0)</f>
        <v>0</v>
      </c>
      <c r="X398" s="243">
        <f>Ruimtestaat[[#This Row],[uren / jaar werkdagen]]*Tariefsopbouw!$D$38</f>
        <v>0</v>
      </c>
      <c r="Y398" s="33"/>
      <c r="Z398" s="33">
        <f>IF(Ruimtestaat[[#This Row],[Frequentie weekend]]&gt;0,VALUE(LEFT(Y398,1))*R398,0)</f>
        <v>0</v>
      </c>
      <c r="AA398" s="33">
        <f>IF($Z398&gt;0,VLOOKUP($J398,Ruimtegroepen[],3,FALSE)*VLOOKUP($L398,Vloersoorten[],3,FALSE)*VLOOKUP($Y398,Frequenties[],3,FALSE)*VLOOKUP(#REF!,Locaties[],3,FALSE),0)</f>
        <v>0</v>
      </c>
      <c r="AB398" s="33"/>
      <c r="AC398" s="33"/>
      <c r="AD398" s="33">
        <f>Ruimtestaat[[#This Row],[uren / jaar weekend]]*Tariefsopbouw!$D$40</f>
        <v>0</v>
      </c>
      <c r="AE398" s="86">
        <f>Ruimtestaat[[#This Row],[Prest. (m2 /jaar) weekend]]+Ruimtestaat[[#This Row],[Prest. (m2 /jaar) werkdagen]]</f>
        <v>9660</v>
      </c>
      <c r="AF398" s="86">
        <f>Ruimtestaat[[#This Row],[uren / jaar weekend]]+Ruimtestaat[[#This Row],[uren / jaar werkdagen]]</f>
        <v>0</v>
      </c>
      <c r="AG398" s="87">
        <f>Ruimtestaat[[#This Row],[kosten / jaar weekend]]+Ruimtestaat[[#This Row],[kosten / jaar werkdagen]]</f>
        <v>0</v>
      </c>
    </row>
    <row r="399" spans="1:33" ht="15" customHeight="1">
      <c r="A399" s="187">
        <v>4</v>
      </c>
      <c r="B399" s="21" t="str">
        <f>VLOOKUP(Ruimtestaat[[#This Row],[Code]],Locaties[#All],2,FALSE)</f>
        <v xml:space="preserve">Lyceumstraat </v>
      </c>
      <c r="C399" s="247" t="str">
        <f>VLOOKUP(Ruimtestaat[[#This Row],[Code]],Locaties[#All],4,FALSE)</f>
        <v>Lyceumstraat 36</v>
      </c>
      <c r="D399" s="247" t="str">
        <f>VLOOKUP(Ruimtestaat[[#This Row],[Code]],Locaties[#All],5,FALSE)</f>
        <v>7572 CR</v>
      </c>
      <c r="E399" s="187" t="str">
        <f>VLOOKUP(Ruimtestaat[[#This Row],[Code]],Locaties[#All],6,FALSE)</f>
        <v>Oldenzaal</v>
      </c>
      <c r="F399" s="248"/>
      <c r="G399" s="246">
        <v>1</v>
      </c>
      <c r="H399" s="246" t="s">
        <v>1068</v>
      </c>
      <c r="I399" s="248" t="s">
        <v>414</v>
      </c>
      <c r="J399" s="247">
        <v>6</v>
      </c>
      <c r="K399" s="247" t="str">
        <f>VLOOKUP(Ruimtestaat[[#This Row],[Ruimte code]],Ruimtegroepen[#All],2,FALSE)</f>
        <v>Gangen/hallen</v>
      </c>
      <c r="L399" s="202" t="s">
        <v>108</v>
      </c>
      <c r="M399" s="249" t="s">
        <v>1201</v>
      </c>
      <c r="N399" s="200">
        <v>46</v>
      </c>
      <c r="O399" s="190"/>
      <c r="P399" s="231" t="str">
        <f>VLOOKUP(Ruimtestaat[[#This Row],[Ruimte code]],Ruimtegroepen[#All],4,FALSE)</f>
        <v>V  (Verkeersruimte)</v>
      </c>
      <c r="Q399" s="201"/>
      <c r="R399" s="202">
        <v>42</v>
      </c>
      <c r="S399" s="202" t="s">
        <v>2</v>
      </c>
      <c r="T399" s="202">
        <f>IF(R399&gt;0,IF(RIGHT(Ruimtestaat[[#This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399" s="202">
        <f>IF(T399&gt;0,VLOOKUP($J399,Ruimtegroepen[],3,FALSE)*VLOOKUP($L399,Vloersoorten[],3,FALSE)*VLOOKUP($S399,Frequenties[],3,FALSE)*VLOOKUP($A399,Locaties[],3,FALSE),0)</f>
        <v>0</v>
      </c>
      <c r="V399" s="202">
        <f>Ruimtestaat[[#This Row],[Uitvoeringen werkdagen]]*Ruimtestaat[[#This Row],[Oppervlak (netto)]]</f>
        <v>9660</v>
      </c>
      <c r="W399" s="242">
        <f>IF(U399&gt;0,Ruimtestaat[[#This Row],[Prest. (m2 /jaar) werkdagen]]/Ruimtestaat[[#This Row],[Norm (m2/uur) werkdagen]],0)</f>
        <v>0</v>
      </c>
      <c r="X399" s="243">
        <f>Ruimtestaat[[#This Row],[uren / jaar werkdagen]]*Tariefsopbouw!$D$38</f>
        <v>0</v>
      </c>
      <c r="Y399" s="33"/>
      <c r="Z399" s="33">
        <f>IF(Ruimtestaat[[#This Row],[Frequentie weekend]]&gt;0,VALUE(LEFT(Y399,1))*R399,0)</f>
        <v>0</v>
      </c>
      <c r="AA399" s="33">
        <f>IF($Z399&gt;0,VLOOKUP($J399,Ruimtegroepen[],3,FALSE)*VLOOKUP($L399,Vloersoorten[],3,FALSE)*VLOOKUP($Y399,Frequenties[],3,FALSE)*VLOOKUP(#REF!,Locaties[],3,FALSE),0)</f>
        <v>0</v>
      </c>
      <c r="AB399" s="33"/>
      <c r="AC399" s="33"/>
      <c r="AD399" s="33">
        <f>Ruimtestaat[[#This Row],[uren / jaar weekend]]*Tariefsopbouw!$D$40</f>
        <v>0</v>
      </c>
      <c r="AE399" s="86">
        <f>Ruimtestaat[[#This Row],[Prest. (m2 /jaar) weekend]]+Ruimtestaat[[#This Row],[Prest. (m2 /jaar) werkdagen]]</f>
        <v>9660</v>
      </c>
      <c r="AF399" s="86">
        <f>Ruimtestaat[[#This Row],[uren / jaar weekend]]+Ruimtestaat[[#This Row],[uren / jaar werkdagen]]</f>
        <v>0</v>
      </c>
      <c r="AG399" s="87">
        <f>Ruimtestaat[[#This Row],[kosten / jaar weekend]]+Ruimtestaat[[#This Row],[kosten / jaar werkdagen]]</f>
        <v>0</v>
      </c>
    </row>
    <row r="400" spans="1:33" ht="15" customHeight="1">
      <c r="A400" s="187">
        <v>4</v>
      </c>
      <c r="B400" s="21" t="str">
        <f>VLOOKUP(Ruimtestaat[[#This Row],[Code]],Locaties[#All],2,FALSE)</f>
        <v xml:space="preserve">Lyceumstraat </v>
      </c>
      <c r="C400" s="247" t="str">
        <f>VLOOKUP(Ruimtestaat[[#This Row],[Code]],Locaties[#All],4,FALSE)</f>
        <v>Lyceumstraat 36</v>
      </c>
      <c r="D400" s="247" t="str">
        <f>VLOOKUP(Ruimtestaat[[#This Row],[Code]],Locaties[#All],5,FALSE)</f>
        <v>7572 CR</v>
      </c>
      <c r="E400" s="187" t="str">
        <f>VLOOKUP(Ruimtestaat[[#This Row],[Code]],Locaties[#All],6,FALSE)</f>
        <v>Oldenzaal</v>
      </c>
      <c r="F400" s="248"/>
      <c r="G400" s="246">
        <v>1</v>
      </c>
      <c r="H400" s="246" t="s">
        <v>1069</v>
      </c>
      <c r="I400" s="248" t="s">
        <v>414</v>
      </c>
      <c r="J400" s="187">
        <v>6</v>
      </c>
      <c r="K400" s="187" t="str">
        <f>VLOOKUP(Ruimtestaat[[#This Row],[Ruimte code]],Ruimtegroepen[#All],2,FALSE)</f>
        <v>Gangen/hallen</v>
      </c>
      <c r="L400" s="247" t="s">
        <v>677</v>
      </c>
      <c r="M400" s="249" t="s">
        <v>1200</v>
      </c>
      <c r="N400" s="200">
        <v>108</v>
      </c>
      <c r="O400" s="190"/>
      <c r="P400" s="231" t="str">
        <f>VLOOKUP(Ruimtestaat[[#This Row],[Ruimte code]],Ruimtegroepen[#All],4,FALSE)</f>
        <v>V  (Verkeersruimte)</v>
      </c>
      <c r="Q400" s="201"/>
      <c r="R400" s="202">
        <v>42</v>
      </c>
      <c r="S400" s="202" t="s">
        <v>2</v>
      </c>
      <c r="T400" s="202">
        <f>IF(R400&gt;0,IF(RIGHT(Ruimtestaat[[#This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00" s="202">
        <f>IF(T400&gt;0,VLOOKUP($J400,Ruimtegroepen[],3,FALSE)*VLOOKUP($L400,Vloersoorten[],3,FALSE)*VLOOKUP($S400,Frequenties[],3,FALSE)*VLOOKUP($A400,Locaties[],3,FALSE),0)</f>
        <v>0</v>
      </c>
      <c r="V400" s="202">
        <f>Ruimtestaat[[#This Row],[Uitvoeringen werkdagen]]*Ruimtestaat[[#This Row],[Oppervlak (netto)]]</f>
        <v>22680</v>
      </c>
      <c r="W400" s="242">
        <f>IF(U400&gt;0,Ruimtestaat[[#This Row],[Prest. (m2 /jaar) werkdagen]]/Ruimtestaat[[#This Row],[Norm (m2/uur) werkdagen]],0)</f>
        <v>0</v>
      </c>
      <c r="X400" s="243">
        <f>Ruimtestaat[[#This Row],[uren / jaar werkdagen]]*Tariefsopbouw!$D$38</f>
        <v>0</v>
      </c>
      <c r="Y400" s="33"/>
      <c r="Z400" s="33">
        <f>IF(Ruimtestaat[[#This Row],[Frequentie weekend]]&gt;0,VALUE(LEFT(Y400,1))*R400,0)</f>
        <v>0</v>
      </c>
      <c r="AA400" s="33">
        <f>IF($Z400&gt;0,VLOOKUP($J400,Ruimtegroepen[],3,FALSE)*VLOOKUP($L400,Vloersoorten[],3,FALSE)*VLOOKUP($Y400,Frequenties[],3,FALSE)*VLOOKUP(#REF!,Locaties[],3,FALSE),0)</f>
        <v>0</v>
      </c>
      <c r="AB400" s="33"/>
      <c r="AC400" s="33"/>
      <c r="AD400" s="33">
        <f>Ruimtestaat[[#This Row],[uren / jaar weekend]]*Tariefsopbouw!$D$40</f>
        <v>0</v>
      </c>
      <c r="AE400" s="86">
        <f>Ruimtestaat[[#This Row],[Prest. (m2 /jaar) weekend]]+Ruimtestaat[[#This Row],[Prest. (m2 /jaar) werkdagen]]</f>
        <v>22680</v>
      </c>
      <c r="AF400" s="86">
        <f>Ruimtestaat[[#This Row],[uren / jaar weekend]]+Ruimtestaat[[#This Row],[uren / jaar werkdagen]]</f>
        <v>0</v>
      </c>
      <c r="AG400" s="87">
        <f>Ruimtestaat[[#This Row],[kosten / jaar weekend]]+Ruimtestaat[[#This Row],[kosten / jaar werkdagen]]</f>
        <v>0</v>
      </c>
    </row>
    <row r="401" spans="1:33" ht="15" customHeight="1">
      <c r="A401" s="187">
        <v>4</v>
      </c>
      <c r="B401" s="21" t="str">
        <f>VLOOKUP(Ruimtestaat[[#This Row],[Code]],Locaties[#All],2,FALSE)</f>
        <v xml:space="preserve">Lyceumstraat </v>
      </c>
      <c r="C401" s="247" t="str">
        <f>VLOOKUP(Ruimtestaat[[#This Row],[Code]],Locaties[#All],4,FALSE)</f>
        <v>Lyceumstraat 36</v>
      </c>
      <c r="D401" s="247" t="str">
        <f>VLOOKUP(Ruimtestaat[[#This Row],[Code]],Locaties[#All],5,FALSE)</f>
        <v>7572 CR</v>
      </c>
      <c r="E401" s="187" t="str">
        <f>VLOOKUP(Ruimtestaat[[#This Row],[Code]],Locaties[#All],6,FALSE)</f>
        <v>Oldenzaal</v>
      </c>
      <c r="F401" s="248"/>
      <c r="G401" s="246">
        <v>1</v>
      </c>
      <c r="H401" s="246" t="s">
        <v>1070</v>
      </c>
      <c r="I401" s="248" t="s">
        <v>596</v>
      </c>
      <c r="J401" s="187">
        <v>10</v>
      </c>
      <c r="K401" s="187" t="str">
        <f>VLOOKUP(Ruimtestaat[[#This Row],[Ruimte code]],Ruimtegroepen[#All],2,FALSE)</f>
        <v>Trappenhuizen/lift</v>
      </c>
      <c r="L401" s="202" t="s">
        <v>108</v>
      </c>
      <c r="M401" s="249" t="s">
        <v>1201</v>
      </c>
      <c r="N401" s="200">
        <v>48</v>
      </c>
      <c r="O401" s="190"/>
      <c r="P401" s="231" t="str">
        <f>VLOOKUP(Ruimtestaat[[#This Row],[Ruimte code]],Ruimtegroepen[#All],4,FALSE)</f>
        <v>V  (Verkeersruimte)</v>
      </c>
      <c r="Q401" s="201"/>
      <c r="R401" s="202">
        <v>42</v>
      </c>
      <c r="S401" s="202" t="s">
        <v>2</v>
      </c>
      <c r="T401" s="202">
        <f>IF(R401&gt;0,IF(RIGHT(Ruimtestaat[[#This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01" s="202">
        <f>IF(T401&gt;0,VLOOKUP($J401,Ruimtegroepen[],3,FALSE)*VLOOKUP($L401,Vloersoorten[],3,FALSE)*VLOOKUP($S401,Frequenties[],3,FALSE)*VLOOKUP($A401,Locaties[],3,FALSE),0)</f>
        <v>0</v>
      </c>
      <c r="V401" s="202">
        <f>Ruimtestaat[[#This Row],[Uitvoeringen werkdagen]]*Ruimtestaat[[#This Row],[Oppervlak (netto)]]</f>
        <v>10080</v>
      </c>
      <c r="W401" s="242">
        <f>IF(U401&gt;0,Ruimtestaat[[#This Row],[Prest. (m2 /jaar) werkdagen]]/Ruimtestaat[[#This Row],[Norm (m2/uur) werkdagen]],0)</f>
        <v>0</v>
      </c>
      <c r="X401" s="243">
        <f>Ruimtestaat[[#This Row],[uren / jaar werkdagen]]*Tariefsopbouw!$D$38</f>
        <v>0</v>
      </c>
      <c r="Y401" s="33"/>
      <c r="Z401" s="33">
        <f>IF(Ruimtestaat[[#This Row],[Frequentie weekend]]&gt;0,VALUE(LEFT(Y401,1))*R401,0)</f>
        <v>0</v>
      </c>
      <c r="AA401" s="33">
        <f>IF($Z401&gt;0,VLOOKUP($J401,Ruimtegroepen[],3,FALSE)*VLOOKUP($L401,Vloersoorten[],3,FALSE)*VLOOKUP($Y401,Frequenties[],3,FALSE)*VLOOKUP(#REF!,Locaties[],3,FALSE),0)</f>
        <v>0</v>
      </c>
      <c r="AB401" s="33"/>
      <c r="AC401" s="33"/>
      <c r="AD401" s="33">
        <f>Ruimtestaat[[#This Row],[uren / jaar weekend]]*Tariefsopbouw!$D$40</f>
        <v>0</v>
      </c>
      <c r="AE401" s="86">
        <f>Ruimtestaat[[#This Row],[Prest. (m2 /jaar) weekend]]+Ruimtestaat[[#This Row],[Prest. (m2 /jaar) werkdagen]]</f>
        <v>10080</v>
      </c>
      <c r="AF401" s="86">
        <f>Ruimtestaat[[#This Row],[uren / jaar weekend]]+Ruimtestaat[[#This Row],[uren / jaar werkdagen]]</f>
        <v>0</v>
      </c>
      <c r="AG401" s="87">
        <f>Ruimtestaat[[#This Row],[kosten / jaar weekend]]+Ruimtestaat[[#This Row],[kosten / jaar werkdagen]]</f>
        <v>0</v>
      </c>
    </row>
    <row r="402" spans="1:33" ht="15" customHeight="1">
      <c r="A402" s="187">
        <v>4</v>
      </c>
      <c r="B402" s="21" t="str">
        <f>VLOOKUP(Ruimtestaat[[#This Row],[Code]],Locaties[#All],2,FALSE)</f>
        <v xml:space="preserve">Lyceumstraat </v>
      </c>
      <c r="C402" s="247" t="str">
        <f>VLOOKUP(Ruimtestaat[[#This Row],[Code]],Locaties[#All],4,FALSE)</f>
        <v>Lyceumstraat 36</v>
      </c>
      <c r="D402" s="247" t="str">
        <f>VLOOKUP(Ruimtestaat[[#This Row],[Code]],Locaties[#All],5,FALSE)</f>
        <v>7572 CR</v>
      </c>
      <c r="E402" s="187" t="str">
        <f>VLOOKUP(Ruimtestaat[[#This Row],[Code]],Locaties[#All],6,FALSE)</f>
        <v>Oldenzaal</v>
      </c>
      <c r="F402" s="248"/>
      <c r="G402" s="246" t="s">
        <v>679</v>
      </c>
      <c r="H402" s="246" t="s">
        <v>1071</v>
      </c>
      <c r="I402" s="248" t="s">
        <v>1010</v>
      </c>
      <c r="J402" s="187">
        <v>14</v>
      </c>
      <c r="K402" s="187" t="str">
        <f>VLOOKUP(Ruimtestaat[[#This Row],[Ruimte code]],Ruimtegroepen[#All],2,FALSE)</f>
        <v>Praktijklokalen/kabinet</v>
      </c>
      <c r="L402" s="247" t="s">
        <v>677</v>
      </c>
      <c r="M402" s="249" t="s">
        <v>1200</v>
      </c>
      <c r="N402" s="200">
        <v>175</v>
      </c>
      <c r="O402" s="190"/>
      <c r="P402" s="231" t="str">
        <f>VLOOKUP(Ruimtestaat[[#This Row],[Ruimte code]],Ruimtegroepen[#All],4,FALSE)</f>
        <v>L  (Lesruimte)</v>
      </c>
      <c r="Q402" s="201"/>
      <c r="R402" s="202">
        <v>42</v>
      </c>
      <c r="S402" s="202" t="s">
        <v>2</v>
      </c>
      <c r="T402" s="202">
        <f>IF(R402&gt;0,IF(RIGHT(Ruimtestaat[[#This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02" s="202">
        <f>IF(T402&gt;0,VLOOKUP($J402,Ruimtegroepen[],3,FALSE)*VLOOKUP($L402,Vloersoorten[],3,FALSE)*VLOOKUP($S402,Frequenties[],3,FALSE)*VLOOKUP($A402,Locaties[],3,FALSE),0)</f>
        <v>0</v>
      </c>
      <c r="V402" s="202">
        <f>Ruimtestaat[[#This Row],[Uitvoeringen werkdagen]]*Ruimtestaat[[#This Row],[Oppervlak (netto)]]</f>
        <v>36750</v>
      </c>
      <c r="W402" s="242">
        <f>IF(U402&gt;0,Ruimtestaat[[#This Row],[Prest. (m2 /jaar) werkdagen]]/Ruimtestaat[[#This Row],[Norm (m2/uur) werkdagen]],0)</f>
        <v>0</v>
      </c>
      <c r="X402" s="243">
        <f>Ruimtestaat[[#This Row],[uren / jaar werkdagen]]*Tariefsopbouw!$D$38</f>
        <v>0</v>
      </c>
      <c r="Y402" s="33"/>
      <c r="Z402" s="33">
        <f>IF(Ruimtestaat[[#This Row],[Frequentie weekend]]&gt;0,VALUE(LEFT(Y402,1))*R402,0)</f>
        <v>0</v>
      </c>
      <c r="AA402" s="33">
        <f>IF($Z402&gt;0,VLOOKUP($J402,Ruimtegroepen[],3,FALSE)*VLOOKUP($L402,Vloersoorten[],3,FALSE)*VLOOKUP($Y402,Frequenties[],3,FALSE)*VLOOKUP(#REF!,Locaties[],3,FALSE),0)</f>
        <v>0</v>
      </c>
      <c r="AB402" s="33"/>
      <c r="AC402" s="33"/>
      <c r="AD402" s="33">
        <f>Ruimtestaat[[#This Row],[uren / jaar weekend]]*Tariefsopbouw!$D$40</f>
        <v>0</v>
      </c>
      <c r="AE402" s="86">
        <f>Ruimtestaat[[#This Row],[Prest. (m2 /jaar) weekend]]+Ruimtestaat[[#This Row],[Prest. (m2 /jaar) werkdagen]]</f>
        <v>36750</v>
      </c>
      <c r="AF402" s="86">
        <f>Ruimtestaat[[#This Row],[uren / jaar weekend]]+Ruimtestaat[[#This Row],[uren / jaar werkdagen]]</f>
        <v>0</v>
      </c>
      <c r="AG402" s="87">
        <f>Ruimtestaat[[#This Row],[kosten / jaar weekend]]+Ruimtestaat[[#This Row],[kosten / jaar werkdagen]]</f>
        <v>0</v>
      </c>
    </row>
    <row r="403" spans="1:33" ht="15" customHeight="1">
      <c r="A403" s="187">
        <v>4</v>
      </c>
      <c r="B403" s="21" t="str">
        <f>VLOOKUP(Ruimtestaat[[#This Row],[Code]],Locaties[#All],2,FALSE)</f>
        <v xml:space="preserve">Lyceumstraat </v>
      </c>
      <c r="C403" s="247" t="str">
        <f>VLOOKUP(Ruimtestaat[[#This Row],[Code]],Locaties[#All],4,FALSE)</f>
        <v>Lyceumstraat 36</v>
      </c>
      <c r="D403" s="247" t="str">
        <f>VLOOKUP(Ruimtestaat[[#This Row],[Code]],Locaties[#All],5,FALSE)</f>
        <v>7572 CR</v>
      </c>
      <c r="E403" s="187" t="str">
        <f>VLOOKUP(Ruimtestaat[[#This Row],[Code]],Locaties[#All],6,FALSE)</f>
        <v>Oldenzaal</v>
      </c>
      <c r="F403" s="248"/>
      <c r="G403" s="246" t="s">
        <v>679</v>
      </c>
      <c r="H403" s="246" t="s">
        <v>1072</v>
      </c>
      <c r="I403" s="248" t="s">
        <v>1073</v>
      </c>
      <c r="J403" s="247">
        <v>14</v>
      </c>
      <c r="K403" s="247" t="str">
        <f>VLOOKUP(Ruimtestaat[[#This Row],[Ruimte code]],Ruimtegroepen[#All],2,FALSE)</f>
        <v>Praktijklokalen/kabinet</v>
      </c>
      <c r="L403" s="247" t="s">
        <v>677</v>
      </c>
      <c r="M403" s="249" t="s">
        <v>1200</v>
      </c>
      <c r="N403" s="200">
        <v>205</v>
      </c>
      <c r="O403" s="190"/>
      <c r="P403" s="231" t="str">
        <f>VLOOKUP(Ruimtestaat[[#This Row],[Ruimte code]],Ruimtegroepen[#All],4,FALSE)</f>
        <v>L  (Lesruimte)</v>
      </c>
      <c r="Q403" s="201"/>
      <c r="R403" s="202">
        <v>42</v>
      </c>
      <c r="S403" s="202" t="s">
        <v>2</v>
      </c>
      <c r="T403" s="202">
        <f>IF(R403&gt;0,IF(RIGHT(Ruimtestaat[[#This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03" s="202">
        <f>IF(T403&gt;0,VLOOKUP($J403,Ruimtegroepen[],3,FALSE)*VLOOKUP($L403,Vloersoorten[],3,FALSE)*VLOOKUP($S403,Frequenties[],3,FALSE)*VLOOKUP($A403,Locaties[],3,FALSE),0)</f>
        <v>0</v>
      </c>
      <c r="V403" s="202">
        <f>Ruimtestaat[[#This Row],[Uitvoeringen werkdagen]]*Ruimtestaat[[#This Row],[Oppervlak (netto)]]</f>
        <v>43050</v>
      </c>
      <c r="W403" s="242">
        <f>IF(U403&gt;0,Ruimtestaat[[#This Row],[Prest. (m2 /jaar) werkdagen]]/Ruimtestaat[[#This Row],[Norm (m2/uur) werkdagen]],0)</f>
        <v>0</v>
      </c>
      <c r="X403" s="243">
        <f>Ruimtestaat[[#This Row],[uren / jaar werkdagen]]*Tariefsopbouw!$D$38</f>
        <v>0</v>
      </c>
      <c r="Y403" s="33"/>
      <c r="Z403" s="33">
        <f>IF(Ruimtestaat[[#This Row],[Frequentie weekend]]&gt;0,VALUE(LEFT(Y403,1))*R403,0)</f>
        <v>0</v>
      </c>
      <c r="AA403" s="33">
        <f>IF($Z403&gt;0,VLOOKUP($J403,Ruimtegroepen[],3,FALSE)*VLOOKUP($L403,Vloersoorten[],3,FALSE)*VLOOKUP($Y403,Frequenties[],3,FALSE)*VLOOKUP(#REF!,Locaties[],3,FALSE),0)</f>
        <v>0</v>
      </c>
      <c r="AB403" s="33"/>
      <c r="AC403" s="33"/>
      <c r="AD403" s="33">
        <f>Ruimtestaat[[#This Row],[uren / jaar weekend]]*Tariefsopbouw!$D$40</f>
        <v>0</v>
      </c>
      <c r="AE403" s="86">
        <f>Ruimtestaat[[#This Row],[Prest. (m2 /jaar) weekend]]+Ruimtestaat[[#This Row],[Prest. (m2 /jaar) werkdagen]]</f>
        <v>43050</v>
      </c>
      <c r="AF403" s="86">
        <f>Ruimtestaat[[#This Row],[uren / jaar weekend]]+Ruimtestaat[[#This Row],[uren / jaar werkdagen]]</f>
        <v>0</v>
      </c>
      <c r="AG403" s="87">
        <f>Ruimtestaat[[#This Row],[kosten / jaar weekend]]+Ruimtestaat[[#This Row],[kosten / jaar werkdagen]]</f>
        <v>0</v>
      </c>
    </row>
    <row r="404" spans="1:33" ht="15" customHeight="1">
      <c r="A404" s="187">
        <v>4</v>
      </c>
      <c r="B404" s="21" t="str">
        <f>VLOOKUP(Ruimtestaat[[#This Row],[Code]],Locaties[#All],2,FALSE)</f>
        <v xml:space="preserve">Lyceumstraat </v>
      </c>
      <c r="C404" s="247" t="str">
        <f>VLOOKUP(Ruimtestaat[[#This Row],[Code]],Locaties[#All],4,FALSE)</f>
        <v>Lyceumstraat 36</v>
      </c>
      <c r="D404" s="247" t="str">
        <f>VLOOKUP(Ruimtestaat[[#This Row],[Code]],Locaties[#All],5,FALSE)</f>
        <v>7572 CR</v>
      </c>
      <c r="E404" s="187" t="str">
        <f>VLOOKUP(Ruimtestaat[[#This Row],[Code]],Locaties[#All],6,FALSE)</f>
        <v>Oldenzaal</v>
      </c>
      <c r="F404" s="248"/>
      <c r="G404" s="246" t="s">
        <v>679</v>
      </c>
      <c r="H404" s="246" t="s">
        <v>1074</v>
      </c>
      <c r="I404" s="248" t="s">
        <v>465</v>
      </c>
      <c r="J404" s="187">
        <v>16</v>
      </c>
      <c r="K404" s="187" t="str">
        <f>VLOOKUP(Ruimtestaat[[#This Row],[Ruimte code]],Ruimtegroepen[#All],2,FALSE)</f>
        <v>Leslokalen/computerlokaal</v>
      </c>
      <c r="L404" s="247" t="s">
        <v>1204</v>
      </c>
      <c r="M404" s="249" t="s">
        <v>1205</v>
      </c>
      <c r="N404" s="200">
        <v>52</v>
      </c>
      <c r="O404" s="190"/>
      <c r="P404" s="231" t="str">
        <f>VLOOKUP(Ruimtestaat[[#This Row],[Ruimte code]],Ruimtegroepen[#All],4,FALSE)</f>
        <v>L  (Lesruimte)</v>
      </c>
      <c r="Q404" s="201"/>
      <c r="R404" s="202">
        <v>42</v>
      </c>
      <c r="S404" s="202" t="s">
        <v>2</v>
      </c>
      <c r="T404" s="202">
        <f>IF(R404&gt;0,IF(RIGHT(Ruimtestaat[[#This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04" s="202">
        <f>IF(T404&gt;0,VLOOKUP($J404,Ruimtegroepen[],3,FALSE)*VLOOKUP($L404,Vloersoorten[],3,FALSE)*VLOOKUP($S404,Frequenties[],3,FALSE)*VLOOKUP($A404,Locaties[],3,FALSE),0)</f>
        <v>0</v>
      </c>
      <c r="V404" s="202">
        <f>Ruimtestaat[[#This Row],[Uitvoeringen werkdagen]]*Ruimtestaat[[#This Row],[Oppervlak (netto)]]</f>
        <v>10920</v>
      </c>
      <c r="W404" s="242">
        <f>IF(U404&gt;0,Ruimtestaat[[#This Row],[Prest. (m2 /jaar) werkdagen]]/Ruimtestaat[[#This Row],[Norm (m2/uur) werkdagen]],0)</f>
        <v>0</v>
      </c>
      <c r="X404" s="243">
        <f>Ruimtestaat[[#This Row],[uren / jaar werkdagen]]*Tariefsopbouw!$D$38</f>
        <v>0</v>
      </c>
      <c r="Y404" s="33"/>
      <c r="Z404" s="33">
        <f>IF(Ruimtestaat[[#This Row],[Frequentie weekend]]&gt;0,VALUE(LEFT(Y404,1))*R404,0)</f>
        <v>0</v>
      </c>
      <c r="AA404" s="33">
        <f>IF($Z404&gt;0,VLOOKUP($J404,Ruimtegroepen[],3,FALSE)*VLOOKUP($L404,Vloersoorten[],3,FALSE)*VLOOKUP($Y404,Frequenties[],3,FALSE)*VLOOKUP(#REF!,Locaties[],3,FALSE),0)</f>
        <v>0</v>
      </c>
      <c r="AB404" s="33"/>
      <c r="AC404" s="33"/>
      <c r="AD404" s="33">
        <f>Ruimtestaat[[#This Row],[uren / jaar weekend]]*Tariefsopbouw!$D$40</f>
        <v>0</v>
      </c>
      <c r="AE404" s="86">
        <f>Ruimtestaat[[#This Row],[Prest. (m2 /jaar) weekend]]+Ruimtestaat[[#This Row],[Prest. (m2 /jaar) werkdagen]]</f>
        <v>10920</v>
      </c>
      <c r="AF404" s="86">
        <f>Ruimtestaat[[#This Row],[uren / jaar weekend]]+Ruimtestaat[[#This Row],[uren / jaar werkdagen]]</f>
        <v>0</v>
      </c>
      <c r="AG404" s="87">
        <f>Ruimtestaat[[#This Row],[kosten / jaar weekend]]+Ruimtestaat[[#This Row],[kosten / jaar werkdagen]]</f>
        <v>0</v>
      </c>
    </row>
    <row r="405" spans="1:33" ht="15" customHeight="1">
      <c r="A405" s="187">
        <v>4</v>
      </c>
      <c r="B405" s="21" t="str">
        <f>VLOOKUP(Ruimtestaat[[#This Row],[Code]],Locaties[#All],2,FALSE)</f>
        <v xml:space="preserve">Lyceumstraat </v>
      </c>
      <c r="C405" s="247" t="str">
        <f>VLOOKUP(Ruimtestaat[[#This Row],[Code]],Locaties[#All],4,FALSE)</f>
        <v>Lyceumstraat 36</v>
      </c>
      <c r="D405" s="247" t="str">
        <f>VLOOKUP(Ruimtestaat[[#This Row],[Code]],Locaties[#All],5,FALSE)</f>
        <v>7572 CR</v>
      </c>
      <c r="E405" s="187" t="str">
        <f>VLOOKUP(Ruimtestaat[[#This Row],[Code]],Locaties[#All],6,FALSE)</f>
        <v>Oldenzaal</v>
      </c>
      <c r="F405" s="248"/>
      <c r="G405" s="246" t="s">
        <v>679</v>
      </c>
      <c r="H405" s="246" t="s">
        <v>1075</v>
      </c>
      <c r="I405" s="248" t="s">
        <v>1076</v>
      </c>
      <c r="J405" s="187">
        <v>11</v>
      </c>
      <c r="K405" s="187" t="str">
        <f>VLOOKUP(Ruimtestaat[[#This Row],[Ruimte code]],Ruimtegroepen[#All],2,FALSE)</f>
        <v>Garderobes/kluisjesruimte</v>
      </c>
      <c r="L405" s="202" t="s">
        <v>108</v>
      </c>
      <c r="M405" s="249" t="s">
        <v>1201</v>
      </c>
      <c r="N405" s="200">
        <v>322</v>
      </c>
      <c r="O405" s="190"/>
      <c r="P405" s="231" t="str">
        <f>VLOOKUP(Ruimtestaat[[#This Row],[Ruimte code]],Ruimtegroepen[#All],4,FALSE)</f>
        <v>V  (Verkeersruimte)</v>
      </c>
      <c r="Q405" s="201"/>
      <c r="R405" s="202">
        <v>42</v>
      </c>
      <c r="S405" s="202" t="s">
        <v>2</v>
      </c>
      <c r="T405" s="202">
        <f>IF(R405&gt;0,IF(RIGHT(Ruimtestaat[[#This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05" s="202">
        <f>IF(T405&gt;0,VLOOKUP($J405,Ruimtegroepen[],3,FALSE)*VLOOKUP($L405,Vloersoorten[],3,FALSE)*VLOOKUP($S405,Frequenties[],3,FALSE)*VLOOKUP($A405,Locaties[],3,FALSE),0)</f>
        <v>0</v>
      </c>
      <c r="V405" s="202">
        <f>Ruimtestaat[[#This Row],[Uitvoeringen werkdagen]]*Ruimtestaat[[#This Row],[Oppervlak (netto)]]</f>
        <v>67620</v>
      </c>
      <c r="W405" s="242">
        <f>IF(U405&gt;0,Ruimtestaat[[#This Row],[Prest. (m2 /jaar) werkdagen]]/Ruimtestaat[[#This Row],[Norm (m2/uur) werkdagen]],0)</f>
        <v>0</v>
      </c>
      <c r="X405" s="243">
        <f>Ruimtestaat[[#This Row],[uren / jaar werkdagen]]*Tariefsopbouw!$D$38</f>
        <v>0</v>
      </c>
      <c r="Y405" s="33"/>
      <c r="Z405" s="33">
        <f>IF(Ruimtestaat[[#This Row],[Frequentie weekend]]&gt;0,VALUE(LEFT(Y405,1))*R405,0)</f>
        <v>0</v>
      </c>
      <c r="AA405" s="33">
        <f>IF($Z405&gt;0,VLOOKUP($J405,Ruimtegroepen[],3,FALSE)*VLOOKUP($L405,Vloersoorten[],3,FALSE)*VLOOKUP($Y405,Frequenties[],3,FALSE)*VLOOKUP(#REF!,Locaties[],3,FALSE),0)</f>
        <v>0</v>
      </c>
      <c r="AB405" s="33"/>
      <c r="AC405" s="33"/>
      <c r="AD405" s="33">
        <f>Ruimtestaat[[#This Row],[uren / jaar weekend]]*Tariefsopbouw!$D$40</f>
        <v>0</v>
      </c>
      <c r="AE405" s="86">
        <f>Ruimtestaat[[#This Row],[Prest. (m2 /jaar) weekend]]+Ruimtestaat[[#This Row],[Prest. (m2 /jaar) werkdagen]]</f>
        <v>67620</v>
      </c>
      <c r="AF405" s="86">
        <f>Ruimtestaat[[#This Row],[uren / jaar weekend]]+Ruimtestaat[[#This Row],[uren / jaar werkdagen]]</f>
        <v>0</v>
      </c>
      <c r="AG405" s="87">
        <f>Ruimtestaat[[#This Row],[kosten / jaar weekend]]+Ruimtestaat[[#This Row],[kosten / jaar werkdagen]]</f>
        <v>0</v>
      </c>
    </row>
    <row r="406" spans="1:33" ht="15" customHeight="1">
      <c r="A406" s="187">
        <v>4</v>
      </c>
      <c r="B406" s="21" t="str">
        <f>VLOOKUP(Ruimtestaat[[#This Row],[Code]],Locaties[#All],2,FALSE)</f>
        <v xml:space="preserve">Lyceumstraat </v>
      </c>
      <c r="C406" s="247" t="str">
        <f>VLOOKUP(Ruimtestaat[[#This Row],[Code]],Locaties[#All],4,FALSE)</f>
        <v>Lyceumstraat 36</v>
      </c>
      <c r="D406" s="247" t="str">
        <f>VLOOKUP(Ruimtestaat[[#This Row],[Code]],Locaties[#All],5,FALSE)</f>
        <v>7572 CR</v>
      </c>
      <c r="E406" s="187" t="str">
        <f>VLOOKUP(Ruimtestaat[[#This Row],[Code]],Locaties[#All],6,FALSE)</f>
        <v>Oldenzaal</v>
      </c>
      <c r="F406" s="248"/>
      <c r="G406" s="246" t="s">
        <v>679</v>
      </c>
      <c r="H406" s="246" t="s">
        <v>1077</v>
      </c>
      <c r="I406" s="248" t="s">
        <v>606</v>
      </c>
      <c r="J406" s="247">
        <v>7</v>
      </c>
      <c r="K406" s="247" t="str">
        <f>VLOOKUP(Ruimtestaat[[#This Row],[Ruimte code]],Ruimtegroepen[#All],2,FALSE)</f>
        <v>Entree / buitenentree</v>
      </c>
      <c r="L406" s="202" t="s">
        <v>108</v>
      </c>
      <c r="M406" s="249" t="s">
        <v>1201</v>
      </c>
      <c r="N406" s="200">
        <v>289</v>
      </c>
      <c r="O406" s="190"/>
      <c r="P406" s="231" t="str">
        <f>VLOOKUP(Ruimtestaat[[#This Row],[Ruimte code]],Ruimtegroepen[#All],4,FALSE)</f>
        <v>V  (Verkeersruimte)</v>
      </c>
      <c r="Q406" s="201"/>
      <c r="R406" s="202">
        <v>42</v>
      </c>
      <c r="S406" s="202" t="s">
        <v>2</v>
      </c>
      <c r="T406" s="202">
        <f>IF(R406&gt;0,IF(RIGHT(Ruimtestaat[[#This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06" s="202">
        <f>IF(T406&gt;0,VLOOKUP($J406,Ruimtegroepen[],3,FALSE)*VLOOKUP($L406,Vloersoorten[],3,FALSE)*VLOOKUP($S406,Frequenties[],3,FALSE)*VLOOKUP($A406,Locaties[],3,FALSE),0)</f>
        <v>0</v>
      </c>
      <c r="V406" s="202">
        <f>Ruimtestaat[[#This Row],[Uitvoeringen werkdagen]]*Ruimtestaat[[#This Row],[Oppervlak (netto)]]</f>
        <v>60690</v>
      </c>
      <c r="W406" s="242">
        <f>IF(U406&gt;0,Ruimtestaat[[#This Row],[Prest. (m2 /jaar) werkdagen]]/Ruimtestaat[[#This Row],[Norm (m2/uur) werkdagen]],0)</f>
        <v>0</v>
      </c>
      <c r="X406" s="243">
        <f>Ruimtestaat[[#This Row],[uren / jaar werkdagen]]*Tariefsopbouw!$D$38</f>
        <v>0</v>
      </c>
      <c r="Y406" s="33"/>
      <c r="Z406" s="33">
        <f>IF(Ruimtestaat[[#This Row],[Frequentie weekend]]&gt;0,VALUE(LEFT(Y406,1))*R406,0)</f>
        <v>0</v>
      </c>
      <c r="AA406" s="33">
        <f>IF($Z406&gt;0,VLOOKUP($J406,Ruimtegroepen[],3,FALSE)*VLOOKUP($L406,Vloersoorten[],3,FALSE)*VLOOKUP($Y406,Frequenties[],3,FALSE)*VLOOKUP(#REF!,Locaties[],3,FALSE),0)</f>
        <v>0</v>
      </c>
      <c r="AB406" s="33"/>
      <c r="AC406" s="33"/>
      <c r="AD406" s="33">
        <f>Ruimtestaat[[#This Row],[uren / jaar weekend]]*Tariefsopbouw!$D$40</f>
        <v>0</v>
      </c>
      <c r="AE406" s="86">
        <f>Ruimtestaat[[#This Row],[Prest. (m2 /jaar) weekend]]+Ruimtestaat[[#This Row],[Prest. (m2 /jaar) werkdagen]]</f>
        <v>60690</v>
      </c>
      <c r="AF406" s="86">
        <f>Ruimtestaat[[#This Row],[uren / jaar weekend]]+Ruimtestaat[[#This Row],[uren / jaar werkdagen]]</f>
        <v>0</v>
      </c>
      <c r="AG406" s="87">
        <f>Ruimtestaat[[#This Row],[kosten / jaar weekend]]+Ruimtestaat[[#This Row],[kosten / jaar werkdagen]]</f>
        <v>0</v>
      </c>
    </row>
    <row r="407" spans="1:33" ht="15" customHeight="1">
      <c r="A407" s="187">
        <v>4</v>
      </c>
      <c r="B407" s="21" t="str">
        <f>VLOOKUP(Ruimtestaat[[#This Row],[Code]],Locaties[#All],2,FALSE)</f>
        <v xml:space="preserve">Lyceumstraat </v>
      </c>
      <c r="C407" s="247" t="str">
        <f>VLOOKUP(Ruimtestaat[[#This Row],[Code]],Locaties[#All],4,FALSE)</f>
        <v>Lyceumstraat 36</v>
      </c>
      <c r="D407" s="247" t="str">
        <f>VLOOKUP(Ruimtestaat[[#This Row],[Code]],Locaties[#All],5,FALSE)</f>
        <v>7572 CR</v>
      </c>
      <c r="E407" s="187" t="str">
        <f>VLOOKUP(Ruimtestaat[[#This Row],[Code]],Locaties[#All],6,FALSE)</f>
        <v>Oldenzaal</v>
      </c>
      <c r="F407" s="248"/>
      <c r="G407" s="246" t="s">
        <v>679</v>
      </c>
      <c r="H407" s="246" t="s">
        <v>1078</v>
      </c>
      <c r="I407" s="248" t="s">
        <v>40</v>
      </c>
      <c r="J407" s="247">
        <v>7</v>
      </c>
      <c r="K407" s="247" t="str">
        <f>VLOOKUP(Ruimtestaat[[#This Row],[Ruimte code]],Ruimtegroepen[#All],2,FALSE)</f>
        <v>Entree / buitenentree</v>
      </c>
      <c r="L407" s="247" t="s">
        <v>1204</v>
      </c>
      <c r="M407" s="249" t="s">
        <v>1205</v>
      </c>
      <c r="N407" s="200">
        <v>13</v>
      </c>
      <c r="O407" s="190"/>
      <c r="P407" s="231" t="str">
        <f>VLOOKUP(Ruimtestaat[[#This Row],[Ruimte code]],Ruimtegroepen[#All],4,FALSE)</f>
        <v>V  (Verkeersruimte)</v>
      </c>
      <c r="Q407" s="201"/>
      <c r="R407" s="202">
        <v>42</v>
      </c>
      <c r="S407" s="202" t="s">
        <v>2</v>
      </c>
      <c r="T407" s="202">
        <f>IF(R407&gt;0,IF(RIGHT(Ruimtestaat[[#This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07" s="202">
        <f>IF(T407&gt;0,VLOOKUP($J407,Ruimtegroepen[],3,FALSE)*VLOOKUP($L407,Vloersoorten[],3,FALSE)*VLOOKUP($S407,Frequenties[],3,FALSE)*VLOOKUP($A407,Locaties[],3,FALSE),0)</f>
        <v>0</v>
      </c>
      <c r="V407" s="202">
        <f>Ruimtestaat[[#This Row],[Uitvoeringen werkdagen]]*Ruimtestaat[[#This Row],[Oppervlak (netto)]]</f>
        <v>2730</v>
      </c>
      <c r="W407" s="242">
        <f>IF(U407&gt;0,Ruimtestaat[[#This Row],[Prest. (m2 /jaar) werkdagen]]/Ruimtestaat[[#This Row],[Norm (m2/uur) werkdagen]],0)</f>
        <v>0</v>
      </c>
      <c r="X407" s="243">
        <f>Ruimtestaat[[#This Row],[uren / jaar werkdagen]]*Tariefsopbouw!$D$38</f>
        <v>0</v>
      </c>
      <c r="Y407" s="33"/>
      <c r="Z407" s="33">
        <f>IF(Ruimtestaat[[#This Row],[Frequentie weekend]]&gt;0,VALUE(LEFT(Y407,1))*R407,0)</f>
        <v>0</v>
      </c>
      <c r="AA407" s="33">
        <f>IF($Z407&gt;0,VLOOKUP($J407,Ruimtegroepen[],3,FALSE)*VLOOKUP($L407,Vloersoorten[],3,FALSE)*VLOOKUP($Y407,Frequenties[],3,FALSE)*VLOOKUP(#REF!,Locaties[],3,FALSE),0)</f>
        <v>0</v>
      </c>
      <c r="AB407" s="33"/>
      <c r="AC407" s="33"/>
      <c r="AD407" s="33">
        <f>Ruimtestaat[[#This Row],[uren / jaar weekend]]*Tariefsopbouw!$D$40</f>
        <v>0</v>
      </c>
      <c r="AE407" s="86">
        <f>Ruimtestaat[[#This Row],[Prest. (m2 /jaar) weekend]]+Ruimtestaat[[#This Row],[Prest. (m2 /jaar) werkdagen]]</f>
        <v>2730</v>
      </c>
      <c r="AF407" s="86">
        <f>Ruimtestaat[[#This Row],[uren / jaar weekend]]+Ruimtestaat[[#This Row],[uren / jaar werkdagen]]</f>
        <v>0</v>
      </c>
      <c r="AG407" s="87">
        <f>Ruimtestaat[[#This Row],[kosten / jaar weekend]]+Ruimtestaat[[#This Row],[kosten / jaar werkdagen]]</f>
        <v>0</v>
      </c>
    </row>
    <row r="408" spans="1:33" ht="15" customHeight="1">
      <c r="A408" s="187">
        <v>4</v>
      </c>
      <c r="B408" s="21" t="str">
        <f>VLOOKUP(Ruimtestaat[[#This Row],[Code]],Locaties[#All],2,FALSE)</f>
        <v xml:space="preserve">Lyceumstraat </v>
      </c>
      <c r="C408" s="247" t="str">
        <f>VLOOKUP(Ruimtestaat[[#This Row],[Code]],Locaties[#All],4,FALSE)</f>
        <v>Lyceumstraat 36</v>
      </c>
      <c r="D408" s="247" t="str">
        <f>VLOOKUP(Ruimtestaat[[#This Row],[Code]],Locaties[#All],5,FALSE)</f>
        <v>7572 CR</v>
      </c>
      <c r="E408" s="187" t="str">
        <f>VLOOKUP(Ruimtestaat[[#This Row],[Code]],Locaties[#All],6,FALSE)</f>
        <v>Oldenzaal</v>
      </c>
      <c r="F408" s="248"/>
      <c r="G408" s="246" t="s">
        <v>679</v>
      </c>
      <c r="H408" s="246" t="s">
        <v>1079</v>
      </c>
      <c r="I408" s="248" t="s">
        <v>610</v>
      </c>
      <c r="J408" s="247">
        <v>16</v>
      </c>
      <c r="K408" s="247" t="str">
        <f>VLOOKUP(Ruimtestaat[[#This Row],[Ruimte code]],Ruimtegroepen[#All],2,FALSE)</f>
        <v>Leslokalen/computerlokaal</v>
      </c>
      <c r="L408" s="247" t="s">
        <v>1204</v>
      </c>
      <c r="M408" s="249" t="s">
        <v>1205</v>
      </c>
      <c r="N408" s="200">
        <v>91</v>
      </c>
      <c r="O408" s="190"/>
      <c r="P408" s="231" t="str">
        <f>VLOOKUP(Ruimtestaat[[#This Row],[Ruimte code]],Ruimtegroepen[#All],4,FALSE)</f>
        <v>L  (Lesruimte)</v>
      </c>
      <c r="Q408" s="201"/>
      <c r="R408" s="202">
        <v>42</v>
      </c>
      <c r="S408" s="202" t="s">
        <v>2</v>
      </c>
      <c r="T408" s="202">
        <f>IF(R408&gt;0,IF(RIGHT(Ruimtestaat[[#This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08" s="202">
        <f>IF(T408&gt;0,VLOOKUP($J408,Ruimtegroepen[],3,FALSE)*VLOOKUP($L408,Vloersoorten[],3,FALSE)*VLOOKUP($S408,Frequenties[],3,FALSE)*VLOOKUP($A408,Locaties[],3,FALSE),0)</f>
        <v>0</v>
      </c>
      <c r="V408" s="202">
        <f>Ruimtestaat[[#This Row],[Uitvoeringen werkdagen]]*Ruimtestaat[[#This Row],[Oppervlak (netto)]]</f>
        <v>19110</v>
      </c>
      <c r="W408" s="242">
        <f>IF(U408&gt;0,Ruimtestaat[[#This Row],[Prest. (m2 /jaar) werkdagen]]/Ruimtestaat[[#This Row],[Norm (m2/uur) werkdagen]],0)</f>
        <v>0</v>
      </c>
      <c r="X408" s="243">
        <f>Ruimtestaat[[#This Row],[uren / jaar werkdagen]]*Tariefsopbouw!$D$38</f>
        <v>0</v>
      </c>
      <c r="Y408" s="33"/>
      <c r="Z408" s="33">
        <f>IF(Ruimtestaat[[#This Row],[Frequentie weekend]]&gt;0,VALUE(LEFT(Y408,1))*R408,0)</f>
        <v>0</v>
      </c>
      <c r="AA408" s="33">
        <f>IF($Z408&gt;0,VLOOKUP($J408,Ruimtegroepen[],3,FALSE)*VLOOKUP($L408,Vloersoorten[],3,FALSE)*VLOOKUP($Y408,Frequenties[],3,FALSE)*VLOOKUP(#REF!,Locaties[],3,FALSE),0)</f>
        <v>0</v>
      </c>
      <c r="AB408" s="33"/>
      <c r="AC408" s="33"/>
      <c r="AD408" s="33">
        <f>Ruimtestaat[[#This Row],[uren / jaar weekend]]*Tariefsopbouw!$D$40</f>
        <v>0</v>
      </c>
      <c r="AE408" s="86">
        <f>Ruimtestaat[[#This Row],[Prest. (m2 /jaar) weekend]]+Ruimtestaat[[#This Row],[Prest. (m2 /jaar) werkdagen]]</f>
        <v>19110</v>
      </c>
      <c r="AF408" s="86">
        <f>Ruimtestaat[[#This Row],[uren / jaar weekend]]+Ruimtestaat[[#This Row],[uren / jaar werkdagen]]</f>
        <v>0</v>
      </c>
      <c r="AG408" s="87">
        <f>Ruimtestaat[[#This Row],[kosten / jaar weekend]]+Ruimtestaat[[#This Row],[kosten / jaar werkdagen]]</f>
        <v>0</v>
      </c>
    </row>
    <row r="409" spans="1:33" ht="15" customHeight="1">
      <c r="A409" s="187">
        <v>4</v>
      </c>
      <c r="B409" s="21" t="str">
        <f>VLOOKUP(Ruimtestaat[[#This Row],[Code]],Locaties[#All],2,FALSE)</f>
        <v xml:space="preserve">Lyceumstraat </v>
      </c>
      <c r="C409" s="247" t="str">
        <f>VLOOKUP(Ruimtestaat[[#This Row],[Code]],Locaties[#All],4,FALSE)</f>
        <v>Lyceumstraat 36</v>
      </c>
      <c r="D409" s="247" t="str">
        <f>VLOOKUP(Ruimtestaat[[#This Row],[Code]],Locaties[#All],5,FALSE)</f>
        <v>7572 CR</v>
      </c>
      <c r="E409" s="187" t="str">
        <f>VLOOKUP(Ruimtestaat[[#This Row],[Code]],Locaties[#All],6,FALSE)</f>
        <v>Oldenzaal</v>
      </c>
      <c r="F409" s="248"/>
      <c r="G409" s="246" t="s">
        <v>679</v>
      </c>
      <c r="H409" s="246" t="s">
        <v>1080</v>
      </c>
      <c r="I409" s="248" t="s">
        <v>557</v>
      </c>
      <c r="J409" s="247">
        <v>2</v>
      </c>
      <c r="K409" s="247" t="str">
        <f>VLOOKUP(Ruimtestaat[[#This Row],[Ruimte code]],Ruimtegroepen[#All],2,FALSE)</f>
        <v>Kantoren/kantoortuin</v>
      </c>
      <c r="L409" s="247" t="s">
        <v>1204</v>
      </c>
      <c r="M409" s="249" t="s">
        <v>1205</v>
      </c>
      <c r="N409" s="200">
        <v>28</v>
      </c>
      <c r="O409" s="190"/>
      <c r="P409" s="231" t="str">
        <f>VLOOKUP(Ruimtestaat[[#This Row],[Ruimte code]],Ruimtegroepen[#All],4,FALSE)</f>
        <v>B  (Bureauruimte)</v>
      </c>
      <c r="Q409" s="201"/>
      <c r="R409" s="202">
        <v>42</v>
      </c>
      <c r="S409" s="202" t="s">
        <v>2</v>
      </c>
      <c r="T409" s="202">
        <f>IF(R409&gt;0,IF(RIGHT(Ruimtestaat[[#This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09" s="202">
        <f>IF(T409&gt;0,VLOOKUP($J409,Ruimtegroepen[],3,FALSE)*VLOOKUP($L409,Vloersoorten[],3,FALSE)*VLOOKUP($S409,Frequenties[],3,FALSE)*VLOOKUP($A409,Locaties[],3,FALSE),0)</f>
        <v>0</v>
      </c>
      <c r="V409" s="202">
        <f>Ruimtestaat[[#This Row],[Uitvoeringen werkdagen]]*Ruimtestaat[[#This Row],[Oppervlak (netto)]]</f>
        <v>5880</v>
      </c>
      <c r="W409" s="242">
        <f>IF(U409&gt;0,Ruimtestaat[[#This Row],[Prest. (m2 /jaar) werkdagen]]/Ruimtestaat[[#This Row],[Norm (m2/uur) werkdagen]],0)</f>
        <v>0</v>
      </c>
      <c r="X409" s="243">
        <f>Ruimtestaat[[#This Row],[uren / jaar werkdagen]]*Tariefsopbouw!$D$38</f>
        <v>0</v>
      </c>
      <c r="Y409" s="33"/>
      <c r="Z409" s="33">
        <f>IF(Ruimtestaat[[#This Row],[Frequentie weekend]]&gt;0,VALUE(LEFT(Y409,1))*R409,0)</f>
        <v>0</v>
      </c>
      <c r="AA409" s="33">
        <f>IF($Z409&gt;0,VLOOKUP($J409,Ruimtegroepen[],3,FALSE)*VLOOKUP($L409,Vloersoorten[],3,FALSE)*VLOOKUP($Y409,Frequenties[],3,FALSE)*VLOOKUP(#REF!,Locaties[],3,FALSE),0)</f>
        <v>0</v>
      </c>
      <c r="AB409" s="33"/>
      <c r="AC409" s="33"/>
      <c r="AD409" s="33">
        <f>Ruimtestaat[[#This Row],[uren / jaar weekend]]*Tariefsopbouw!$D$40</f>
        <v>0</v>
      </c>
      <c r="AE409" s="86">
        <f>Ruimtestaat[[#This Row],[Prest. (m2 /jaar) weekend]]+Ruimtestaat[[#This Row],[Prest. (m2 /jaar) werkdagen]]</f>
        <v>5880</v>
      </c>
      <c r="AF409" s="86">
        <f>Ruimtestaat[[#This Row],[uren / jaar weekend]]+Ruimtestaat[[#This Row],[uren / jaar werkdagen]]</f>
        <v>0</v>
      </c>
      <c r="AG409" s="87">
        <f>Ruimtestaat[[#This Row],[kosten / jaar weekend]]+Ruimtestaat[[#This Row],[kosten / jaar werkdagen]]</f>
        <v>0</v>
      </c>
    </row>
    <row r="410" spans="1:33" ht="15" customHeight="1">
      <c r="A410" s="187">
        <v>4</v>
      </c>
      <c r="B410" s="21" t="str">
        <f>VLOOKUP(Ruimtestaat[[#This Row],[Code]],Locaties[#All],2,FALSE)</f>
        <v xml:space="preserve">Lyceumstraat </v>
      </c>
      <c r="C410" s="247" t="str">
        <f>VLOOKUP(Ruimtestaat[[#This Row],[Code]],Locaties[#All],4,FALSE)</f>
        <v>Lyceumstraat 36</v>
      </c>
      <c r="D410" s="247" t="str">
        <f>VLOOKUP(Ruimtestaat[[#This Row],[Code]],Locaties[#All],5,FALSE)</f>
        <v>7572 CR</v>
      </c>
      <c r="E410" s="187" t="str">
        <f>VLOOKUP(Ruimtestaat[[#This Row],[Code]],Locaties[#All],6,FALSE)</f>
        <v>Oldenzaal</v>
      </c>
      <c r="F410" s="248"/>
      <c r="G410" s="246" t="s">
        <v>679</v>
      </c>
      <c r="H410" s="246" t="s">
        <v>1081</v>
      </c>
      <c r="I410" s="248" t="s">
        <v>476</v>
      </c>
      <c r="J410" s="231">
        <v>4</v>
      </c>
      <c r="K410" s="231" t="str">
        <f>VLOOKUP(Ruimtestaat[[#This Row],[Ruimte code]],Ruimtegroepen[#All],2,FALSE)</f>
        <v>Vergader/spreekkamers</v>
      </c>
      <c r="L410" s="247" t="s">
        <v>1204</v>
      </c>
      <c r="M410" s="249" t="s">
        <v>1205</v>
      </c>
      <c r="N410" s="200">
        <v>8</v>
      </c>
      <c r="O410" s="190"/>
      <c r="P410" s="231" t="str">
        <f>VLOOKUP(Ruimtestaat[[#This Row],[Ruimte code]],Ruimtegroepen[#All],4,FALSE)</f>
        <v>B  (Bureauruimte)</v>
      </c>
      <c r="Q410" s="201"/>
      <c r="R410" s="202">
        <v>42</v>
      </c>
      <c r="S410" s="202" t="s">
        <v>2</v>
      </c>
      <c r="T410" s="202">
        <f>IF(R410&gt;0,IF(RIGHT(Ruimtestaat[[#This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10" s="202">
        <f>IF(T410&gt;0,VLOOKUP($J410,Ruimtegroepen[],3,FALSE)*VLOOKUP($L410,Vloersoorten[],3,FALSE)*VLOOKUP($S410,Frequenties[],3,FALSE)*VLOOKUP($A410,Locaties[],3,FALSE),0)</f>
        <v>0</v>
      </c>
      <c r="V410" s="202">
        <f>Ruimtestaat[[#This Row],[Uitvoeringen werkdagen]]*Ruimtestaat[[#This Row],[Oppervlak (netto)]]</f>
        <v>1680</v>
      </c>
      <c r="W410" s="242">
        <f>IF(U410&gt;0,Ruimtestaat[[#This Row],[Prest. (m2 /jaar) werkdagen]]/Ruimtestaat[[#This Row],[Norm (m2/uur) werkdagen]],0)</f>
        <v>0</v>
      </c>
      <c r="X410" s="243">
        <f>Ruimtestaat[[#This Row],[uren / jaar werkdagen]]*Tariefsopbouw!$D$38</f>
        <v>0</v>
      </c>
      <c r="Y410" s="33"/>
      <c r="Z410" s="33">
        <f>IF(Ruimtestaat[[#This Row],[Frequentie weekend]]&gt;0,VALUE(LEFT(Y410,1))*R410,0)</f>
        <v>0</v>
      </c>
      <c r="AA410" s="33">
        <f>IF($Z410&gt;0,VLOOKUP($J410,Ruimtegroepen[],3,FALSE)*VLOOKUP($L410,Vloersoorten[],3,FALSE)*VLOOKUP($Y410,Frequenties[],3,FALSE)*VLOOKUP(#REF!,Locaties[],3,FALSE),0)</f>
        <v>0</v>
      </c>
      <c r="AB410" s="33"/>
      <c r="AC410" s="33"/>
      <c r="AD410" s="33">
        <f>Ruimtestaat[[#This Row],[uren / jaar weekend]]*Tariefsopbouw!$D$40</f>
        <v>0</v>
      </c>
      <c r="AE410" s="86">
        <f>Ruimtestaat[[#This Row],[Prest. (m2 /jaar) weekend]]+Ruimtestaat[[#This Row],[Prest. (m2 /jaar) werkdagen]]</f>
        <v>1680</v>
      </c>
      <c r="AF410" s="86">
        <f>Ruimtestaat[[#This Row],[uren / jaar weekend]]+Ruimtestaat[[#This Row],[uren / jaar werkdagen]]</f>
        <v>0</v>
      </c>
      <c r="AG410" s="87">
        <f>Ruimtestaat[[#This Row],[kosten / jaar weekend]]+Ruimtestaat[[#This Row],[kosten / jaar werkdagen]]</f>
        <v>0</v>
      </c>
    </row>
    <row r="411" spans="1:33" ht="15" customHeight="1">
      <c r="A411" s="187">
        <v>4</v>
      </c>
      <c r="B411" s="21" t="str">
        <f>VLOOKUP(Ruimtestaat[[#This Row],[Code]],Locaties[#All],2,FALSE)</f>
        <v xml:space="preserve">Lyceumstraat </v>
      </c>
      <c r="C411" s="247" t="str">
        <f>VLOOKUP(Ruimtestaat[[#This Row],[Code]],Locaties[#All],4,FALSE)</f>
        <v>Lyceumstraat 36</v>
      </c>
      <c r="D411" s="247" t="str">
        <f>VLOOKUP(Ruimtestaat[[#This Row],[Code]],Locaties[#All],5,FALSE)</f>
        <v>7572 CR</v>
      </c>
      <c r="E411" s="187" t="str">
        <f>VLOOKUP(Ruimtestaat[[#This Row],[Code]],Locaties[#All],6,FALSE)</f>
        <v>Oldenzaal</v>
      </c>
      <c r="F411" s="248"/>
      <c r="G411" s="246" t="s">
        <v>679</v>
      </c>
      <c r="H411" s="246" t="s">
        <v>1082</v>
      </c>
      <c r="I411" s="248" t="s">
        <v>60</v>
      </c>
      <c r="J411" s="187">
        <v>3</v>
      </c>
      <c r="K411" s="187" t="str">
        <f>VLOOKUP(Ruimtestaat[[#This Row],[Ruimte code]],Ruimtegroepen[#All],2,FALSE)</f>
        <v>Reproruimte</v>
      </c>
      <c r="L411" s="247" t="s">
        <v>677</v>
      </c>
      <c r="M411" s="249" t="s">
        <v>1200</v>
      </c>
      <c r="N411" s="200">
        <v>24</v>
      </c>
      <c r="O411" s="190"/>
      <c r="P411" s="231" t="str">
        <f>VLOOKUP(Ruimtestaat[[#This Row],[Ruimte code]],Ruimtegroepen[#All],4,FALSE)</f>
        <v>V  (Verkeersruimte)</v>
      </c>
      <c r="Q411" s="201"/>
      <c r="R411" s="202">
        <v>42</v>
      </c>
      <c r="S411" s="202" t="s">
        <v>2</v>
      </c>
      <c r="T411" s="202">
        <f>IF(R411&gt;0,IF(RIGHT(Ruimtestaat[[#This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11" s="202">
        <f>IF(T411&gt;0,VLOOKUP($J411,Ruimtegroepen[],3,FALSE)*VLOOKUP($L411,Vloersoorten[],3,FALSE)*VLOOKUP($S411,Frequenties[],3,FALSE)*VLOOKUP($A411,Locaties[],3,FALSE),0)</f>
        <v>0</v>
      </c>
      <c r="V411" s="202">
        <f>Ruimtestaat[[#This Row],[Uitvoeringen werkdagen]]*Ruimtestaat[[#This Row],[Oppervlak (netto)]]</f>
        <v>5040</v>
      </c>
      <c r="W411" s="242">
        <f>IF(U411&gt;0,Ruimtestaat[[#This Row],[Prest. (m2 /jaar) werkdagen]]/Ruimtestaat[[#This Row],[Norm (m2/uur) werkdagen]],0)</f>
        <v>0</v>
      </c>
      <c r="X411" s="243">
        <f>Ruimtestaat[[#This Row],[uren / jaar werkdagen]]*Tariefsopbouw!$D$38</f>
        <v>0</v>
      </c>
      <c r="Y411" s="33"/>
      <c r="Z411" s="33">
        <f>IF(Ruimtestaat[[#This Row],[Frequentie weekend]]&gt;0,VALUE(LEFT(Y411,1))*R411,0)</f>
        <v>0</v>
      </c>
      <c r="AA411" s="33">
        <f>IF($Z411&gt;0,VLOOKUP($J411,Ruimtegroepen[],3,FALSE)*VLOOKUP($L411,Vloersoorten[],3,FALSE)*VLOOKUP($Y411,Frequenties[],3,FALSE)*VLOOKUP(#REF!,Locaties[],3,FALSE),0)</f>
        <v>0</v>
      </c>
      <c r="AB411" s="33"/>
      <c r="AC411" s="33"/>
      <c r="AD411" s="33">
        <f>Ruimtestaat[[#This Row],[uren / jaar weekend]]*Tariefsopbouw!$D$40</f>
        <v>0</v>
      </c>
      <c r="AE411" s="86">
        <f>Ruimtestaat[[#This Row],[Prest. (m2 /jaar) weekend]]+Ruimtestaat[[#This Row],[Prest. (m2 /jaar) werkdagen]]</f>
        <v>5040</v>
      </c>
      <c r="AF411" s="86">
        <f>Ruimtestaat[[#This Row],[uren / jaar weekend]]+Ruimtestaat[[#This Row],[uren / jaar werkdagen]]</f>
        <v>0</v>
      </c>
      <c r="AG411" s="87">
        <f>Ruimtestaat[[#This Row],[kosten / jaar weekend]]+Ruimtestaat[[#This Row],[kosten / jaar werkdagen]]</f>
        <v>0</v>
      </c>
    </row>
    <row r="412" spans="1:33" ht="15" customHeight="1">
      <c r="A412" s="187">
        <v>4</v>
      </c>
      <c r="B412" s="21" t="str">
        <f>VLOOKUP(Ruimtestaat[[#This Row],[Code]],Locaties[#All],2,FALSE)</f>
        <v xml:space="preserve">Lyceumstraat </v>
      </c>
      <c r="C412" s="247" t="str">
        <f>VLOOKUP(Ruimtestaat[[#This Row],[Code]],Locaties[#All],4,FALSE)</f>
        <v>Lyceumstraat 36</v>
      </c>
      <c r="D412" s="247" t="str">
        <f>VLOOKUP(Ruimtestaat[[#This Row],[Code]],Locaties[#All],5,FALSE)</f>
        <v>7572 CR</v>
      </c>
      <c r="E412" s="187" t="str">
        <f>VLOOKUP(Ruimtestaat[[#This Row],[Code]],Locaties[#All],6,FALSE)</f>
        <v>Oldenzaal</v>
      </c>
      <c r="F412" s="248"/>
      <c r="G412" s="246" t="s">
        <v>679</v>
      </c>
      <c r="H412" s="246" t="s">
        <v>1083</v>
      </c>
      <c r="I412" s="248" t="s">
        <v>590</v>
      </c>
      <c r="J412" s="231">
        <v>2</v>
      </c>
      <c r="K412" s="231" t="str">
        <f>VLOOKUP(Ruimtestaat[[#This Row],[Ruimte code]],Ruimtegroepen[#All],2,FALSE)</f>
        <v>Kantoren/kantoortuin</v>
      </c>
      <c r="L412" s="247" t="s">
        <v>1204</v>
      </c>
      <c r="M412" s="249" t="s">
        <v>1205</v>
      </c>
      <c r="N412" s="200">
        <v>12</v>
      </c>
      <c r="O412" s="190"/>
      <c r="P412" s="231" t="str">
        <f>VLOOKUP(Ruimtestaat[[#This Row],[Ruimte code]],Ruimtegroepen[#All],4,FALSE)</f>
        <v>B  (Bureauruimte)</v>
      </c>
      <c r="Q412" s="201"/>
      <c r="R412" s="202">
        <v>42</v>
      </c>
      <c r="S412" s="202" t="s">
        <v>2</v>
      </c>
      <c r="T412" s="202">
        <f>IF(R412&gt;0,IF(RIGHT(Ruimtestaat[[#This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12" s="202">
        <f>IF(T412&gt;0,VLOOKUP($J412,Ruimtegroepen[],3,FALSE)*VLOOKUP($L412,Vloersoorten[],3,FALSE)*VLOOKUP($S412,Frequenties[],3,FALSE)*VLOOKUP($A412,Locaties[],3,FALSE),0)</f>
        <v>0</v>
      </c>
      <c r="V412" s="202">
        <f>Ruimtestaat[[#This Row],[Uitvoeringen werkdagen]]*Ruimtestaat[[#This Row],[Oppervlak (netto)]]</f>
        <v>2520</v>
      </c>
      <c r="W412" s="242">
        <f>IF(U412&gt;0,Ruimtestaat[[#This Row],[Prest. (m2 /jaar) werkdagen]]/Ruimtestaat[[#This Row],[Norm (m2/uur) werkdagen]],0)</f>
        <v>0</v>
      </c>
      <c r="X412" s="243">
        <f>Ruimtestaat[[#This Row],[uren / jaar werkdagen]]*Tariefsopbouw!$D$38</f>
        <v>0</v>
      </c>
      <c r="Y412" s="33"/>
      <c r="Z412" s="33">
        <f>IF(Ruimtestaat[[#This Row],[Frequentie weekend]]&gt;0,VALUE(LEFT(Y412,1))*R412,0)</f>
        <v>0</v>
      </c>
      <c r="AA412" s="33">
        <f>IF($Z412&gt;0,VLOOKUP($J412,Ruimtegroepen[],3,FALSE)*VLOOKUP($L412,Vloersoorten[],3,FALSE)*VLOOKUP($Y412,Frequenties[],3,FALSE)*VLOOKUP(#REF!,Locaties[],3,FALSE),0)</f>
        <v>0</v>
      </c>
      <c r="AB412" s="33"/>
      <c r="AC412" s="33"/>
      <c r="AD412" s="33">
        <f>Ruimtestaat[[#This Row],[uren / jaar weekend]]*Tariefsopbouw!$D$40</f>
        <v>0</v>
      </c>
      <c r="AE412" s="86">
        <f>Ruimtestaat[[#This Row],[Prest. (m2 /jaar) weekend]]+Ruimtestaat[[#This Row],[Prest. (m2 /jaar) werkdagen]]</f>
        <v>2520</v>
      </c>
      <c r="AF412" s="86">
        <f>Ruimtestaat[[#This Row],[uren / jaar weekend]]+Ruimtestaat[[#This Row],[uren / jaar werkdagen]]</f>
        <v>0</v>
      </c>
      <c r="AG412" s="87">
        <f>Ruimtestaat[[#This Row],[kosten / jaar weekend]]+Ruimtestaat[[#This Row],[kosten / jaar werkdagen]]</f>
        <v>0</v>
      </c>
    </row>
    <row r="413" spans="1:33" ht="15" customHeight="1">
      <c r="A413" s="187">
        <v>4</v>
      </c>
      <c r="B413" s="21" t="str">
        <f>VLOOKUP(Ruimtestaat[[#This Row],[Code]],Locaties[#All],2,FALSE)</f>
        <v xml:space="preserve">Lyceumstraat </v>
      </c>
      <c r="C413" s="247" t="str">
        <f>VLOOKUP(Ruimtestaat[[#This Row],[Code]],Locaties[#All],4,FALSE)</f>
        <v>Lyceumstraat 36</v>
      </c>
      <c r="D413" s="247" t="str">
        <f>VLOOKUP(Ruimtestaat[[#This Row],[Code]],Locaties[#All],5,FALSE)</f>
        <v>7572 CR</v>
      </c>
      <c r="E413" s="187" t="str">
        <f>VLOOKUP(Ruimtestaat[[#This Row],[Code]],Locaties[#All],6,FALSE)</f>
        <v>Oldenzaal</v>
      </c>
      <c r="F413" s="248"/>
      <c r="G413" s="246" t="s">
        <v>679</v>
      </c>
      <c r="H413" s="246" t="s">
        <v>1084</v>
      </c>
      <c r="I413" s="248" t="s">
        <v>917</v>
      </c>
      <c r="J413" s="187">
        <v>2</v>
      </c>
      <c r="K413" s="187" t="str">
        <f>VLOOKUP(Ruimtestaat[[#This Row],[Ruimte code]],Ruimtegroepen[#All],2,FALSE)</f>
        <v>Kantoren/kantoortuin</v>
      </c>
      <c r="L413" s="247" t="s">
        <v>1204</v>
      </c>
      <c r="M413" s="249" t="s">
        <v>1205</v>
      </c>
      <c r="N413" s="200">
        <v>16</v>
      </c>
      <c r="O413" s="190"/>
      <c r="P413" s="231" t="str">
        <f>VLOOKUP(Ruimtestaat[[#This Row],[Ruimte code]],Ruimtegroepen[#All],4,FALSE)</f>
        <v>B  (Bureauruimte)</v>
      </c>
      <c r="Q413" s="201"/>
      <c r="R413" s="202">
        <v>42</v>
      </c>
      <c r="S413" s="202" t="s">
        <v>2</v>
      </c>
      <c r="T413" s="202">
        <f>IF(R413&gt;0,IF(RIGHT(Ruimtestaat[[#This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13" s="202">
        <f>IF(T413&gt;0,VLOOKUP($J413,Ruimtegroepen[],3,FALSE)*VLOOKUP($L413,Vloersoorten[],3,FALSE)*VLOOKUP($S413,Frequenties[],3,FALSE)*VLOOKUP($A413,Locaties[],3,FALSE),0)</f>
        <v>0</v>
      </c>
      <c r="V413" s="202">
        <f>Ruimtestaat[[#This Row],[Uitvoeringen werkdagen]]*Ruimtestaat[[#This Row],[Oppervlak (netto)]]</f>
        <v>3360</v>
      </c>
      <c r="W413" s="242">
        <f>IF(U413&gt;0,Ruimtestaat[[#This Row],[Prest. (m2 /jaar) werkdagen]]/Ruimtestaat[[#This Row],[Norm (m2/uur) werkdagen]],0)</f>
        <v>0</v>
      </c>
      <c r="X413" s="243">
        <f>Ruimtestaat[[#This Row],[uren / jaar werkdagen]]*Tariefsopbouw!$D$38</f>
        <v>0</v>
      </c>
      <c r="Y413" s="33"/>
      <c r="Z413" s="33">
        <f>IF(Ruimtestaat[[#This Row],[Frequentie weekend]]&gt;0,VALUE(LEFT(Y413,1))*R413,0)</f>
        <v>0</v>
      </c>
      <c r="AA413" s="33">
        <f>IF($Z413&gt;0,VLOOKUP($J413,Ruimtegroepen[],3,FALSE)*VLOOKUP($L413,Vloersoorten[],3,FALSE)*VLOOKUP($Y413,Frequenties[],3,FALSE)*VLOOKUP(#REF!,Locaties[],3,FALSE),0)</f>
        <v>0</v>
      </c>
      <c r="AB413" s="33"/>
      <c r="AC413" s="33"/>
      <c r="AD413" s="33">
        <f>Ruimtestaat[[#This Row],[uren / jaar weekend]]*Tariefsopbouw!$D$40</f>
        <v>0</v>
      </c>
      <c r="AE413" s="86">
        <f>Ruimtestaat[[#This Row],[Prest. (m2 /jaar) weekend]]+Ruimtestaat[[#This Row],[Prest. (m2 /jaar) werkdagen]]</f>
        <v>3360</v>
      </c>
      <c r="AF413" s="86">
        <f>Ruimtestaat[[#This Row],[uren / jaar weekend]]+Ruimtestaat[[#This Row],[uren / jaar werkdagen]]</f>
        <v>0</v>
      </c>
      <c r="AG413" s="87">
        <f>Ruimtestaat[[#This Row],[kosten / jaar weekend]]+Ruimtestaat[[#This Row],[kosten / jaar werkdagen]]</f>
        <v>0</v>
      </c>
    </row>
    <row r="414" spans="1:33" ht="15" customHeight="1">
      <c r="A414" s="187">
        <v>4</v>
      </c>
      <c r="B414" s="21" t="str">
        <f>VLOOKUP(Ruimtestaat[[#This Row],[Code]],Locaties[#All],2,FALSE)</f>
        <v xml:space="preserve">Lyceumstraat </v>
      </c>
      <c r="C414" s="247" t="str">
        <f>VLOOKUP(Ruimtestaat[[#This Row],[Code]],Locaties[#All],4,FALSE)</f>
        <v>Lyceumstraat 36</v>
      </c>
      <c r="D414" s="247" t="str">
        <f>VLOOKUP(Ruimtestaat[[#This Row],[Code]],Locaties[#All],5,FALSE)</f>
        <v>7572 CR</v>
      </c>
      <c r="E414" s="187" t="str">
        <f>VLOOKUP(Ruimtestaat[[#This Row],[Code]],Locaties[#All],6,FALSE)</f>
        <v>Oldenzaal</v>
      </c>
      <c r="F414" s="248"/>
      <c r="G414" s="246" t="s">
        <v>679</v>
      </c>
      <c r="H414" s="246" t="s">
        <v>1085</v>
      </c>
      <c r="I414" s="248" t="s">
        <v>1086</v>
      </c>
      <c r="J414" s="247">
        <v>18</v>
      </c>
      <c r="K414" s="247" t="str">
        <f>VLOOKUP(Ruimtestaat[[#This Row],[Ruimte code]],Ruimtegroepen[#All],2,FALSE)</f>
        <v>Gymzaal</v>
      </c>
      <c r="L414" s="187" t="s">
        <v>109</v>
      </c>
      <c r="M414" s="249" t="s">
        <v>1208</v>
      </c>
      <c r="N414" s="200">
        <v>254</v>
      </c>
      <c r="O414" s="190"/>
      <c r="P414" s="231" t="str">
        <f>VLOOKUP(Ruimtestaat[[#This Row],[Ruimte code]],Ruimtegroepen[#All],4,FALSE)</f>
        <v>Sp  (Sportruimte)</v>
      </c>
      <c r="Q414" s="201"/>
      <c r="R414" s="202">
        <v>42</v>
      </c>
      <c r="S414" s="202" t="s">
        <v>2</v>
      </c>
      <c r="T414" s="202">
        <f>IF(R414&gt;0,IF(RIGHT(Ruimtestaat[[#This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14" s="202">
        <f>IF(T414&gt;0,VLOOKUP($J414,Ruimtegroepen[],3,FALSE)*VLOOKUP($L414,Vloersoorten[],3,FALSE)*VLOOKUP($S414,Frequenties[],3,FALSE)*VLOOKUP($A414,Locaties[],3,FALSE),0)</f>
        <v>0</v>
      </c>
      <c r="V414" s="202">
        <f>Ruimtestaat[[#This Row],[Uitvoeringen werkdagen]]*Ruimtestaat[[#This Row],[Oppervlak (netto)]]</f>
        <v>53340</v>
      </c>
      <c r="W414" s="242">
        <f>IF(U414&gt;0,Ruimtestaat[[#This Row],[Prest. (m2 /jaar) werkdagen]]/Ruimtestaat[[#This Row],[Norm (m2/uur) werkdagen]],0)</f>
        <v>0</v>
      </c>
      <c r="X414" s="243">
        <f>Ruimtestaat[[#This Row],[uren / jaar werkdagen]]*Tariefsopbouw!$D$38</f>
        <v>0</v>
      </c>
      <c r="Y414" s="33"/>
      <c r="Z414" s="33">
        <f>IF(Ruimtestaat[[#This Row],[Frequentie weekend]]&gt;0,VALUE(LEFT(Y414,1))*R414,0)</f>
        <v>0</v>
      </c>
      <c r="AA414" s="33">
        <f>IF($Z414&gt;0,VLOOKUP($J414,Ruimtegroepen[],3,FALSE)*VLOOKUP($L414,Vloersoorten[],3,FALSE)*VLOOKUP($Y414,Frequenties[],3,FALSE)*VLOOKUP(#REF!,Locaties[],3,FALSE),0)</f>
        <v>0</v>
      </c>
      <c r="AB414" s="33"/>
      <c r="AC414" s="33"/>
      <c r="AD414" s="33">
        <f>Ruimtestaat[[#This Row],[uren / jaar weekend]]*Tariefsopbouw!$D$40</f>
        <v>0</v>
      </c>
      <c r="AE414" s="86">
        <f>Ruimtestaat[[#This Row],[Prest. (m2 /jaar) weekend]]+Ruimtestaat[[#This Row],[Prest. (m2 /jaar) werkdagen]]</f>
        <v>53340</v>
      </c>
      <c r="AF414" s="86">
        <f>Ruimtestaat[[#This Row],[uren / jaar weekend]]+Ruimtestaat[[#This Row],[uren / jaar werkdagen]]</f>
        <v>0</v>
      </c>
      <c r="AG414" s="87">
        <f>Ruimtestaat[[#This Row],[kosten / jaar weekend]]+Ruimtestaat[[#This Row],[kosten / jaar werkdagen]]</f>
        <v>0</v>
      </c>
    </row>
    <row r="415" spans="1:33" ht="15" customHeight="1">
      <c r="A415" s="187">
        <v>4</v>
      </c>
      <c r="B415" s="21" t="str">
        <f>VLOOKUP(Ruimtestaat[[#This Row],[Code]],Locaties[#All],2,FALSE)</f>
        <v xml:space="preserve">Lyceumstraat </v>
      </c>
      <c r="C415" s="247" t="str">
        <f>VLOOKUP(Ruimtestaat[[#This Row],[Code]],Locaties[#All],4,FALSE)</f>
        <v>Lyceumstraat 36</v>
      </c>
      <c r="D415" s="247" t="str">
        <f>VLOOKUP(Ruimtestaat[[#This Row],[Code]],Locaties[#All],5,FALSE)</f>
        <v>7572 CR</v>
      </c>
      <c r="E415" s="187" t="str">
        <f>VLOOKUP(Ruimtestaat[[#This Row],[Code]],Locaties[#All],6,FALSE)</f>
        <v>Oldenzaal</v>
      </c>
      <c r="F415" s="248"/>
      <c r="G415" s="246" t="s">
        <v>679</v>
      </c>
      <c r="H415" s="246" t="s">
        <v>1087</v>
      </c>
      <c r="I415" s="248" t="s">
        <v>618</v>
      </c>
      <c r="J415" s="187">
        <v>18</v>
      </c>
      <c r="K415" s="187" t="str">
        <f>VLOOKUP(Ruimtestaat[[#This Row],[Ruimte code]],Ruimtegroepen[#All],2,FALSE)</f>
        <v>Gymzaal</v>
      </c>
      <c r="L415" s="187" t="s">
        <v>109</v>
      </c>
      <c r="M415" s="249" t="s">
        <v>1208</v>
      </c>
      <c r="N415" s="200">
        <v>50</v>
      </c>
      <c r="O415" s="190"/>
      <c r="P415" s="231" t="str">
        <f>VLOOKUP(Ruimtestaat[[#This Row],[Ruimte code]],Ruimtegroepen[#All],4,FALSE)</f>
        <v>Sp  (Sportruimte)</v>
      </c>
      <c r="Q415" s="201"/>
      <c r="R415" s="202">
        <v>42</v>
      </c>
      <c r="S415" s="202" t="s">
        <v>2</v>
      </c>
      <c r="T415" s="202">
        <f>IF(R415&gt;0,IF(RIGHT(Ruimtestaat[[#This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15" s="202">
        <f>IF(T415&gt;0,VLOOKUP($J415,Ruimtegroepen[],3,FALSE)*VLOOKUP($L415,Vloersoorten[],3,FALSE)*VLOOKUP($S415,Frequenties[],3,FALSE)*VLOOKUP($A415,Locaties[],3,FALSE),0)</f>
        <v>0</v>
      </c>
      <c r="V415" s="202">
        <f>Ruimtestaat[[#This Row],[Uitvoeringen werkdagen]]*Ruimtestaat[[#This Row],[Oppervlak (netto)]]</f>
        <v>10500</v>
      </c>
      <c r="W415" s="242">
        <f>IF(U415&gt;0,Ruimtestaat[[#This Row],[Prest. (m2 /jaar) werkdagen]]/Ruimtestaat[[#This Row],[Norm (m2/uur) werkdagen]],0)</f>
        <v>0</v>
      </c>
      <c r="X415" s="243">
        <f>Ruimtestaat[[#This Row],[uren / jaar werkdagen]]*Tariefsopbouw!$D$38</f>
        <v>0</v>
      </c>
      <c r="Y415" s="33"/>
      <c r="Z415" s="33">
        <f>IF(Ruimtestaat[[#This Row],[Frequentie weekend]]&gt;0,VALUE(LEFT(Y415,1))*R415,0)</f>
        <v>0</v>
      </c>
      <c r="AA415" s="33">
        <f>IF($Z415&gt;0,VLOOKUP($J415,Ruimtegroepen[],3,FALSE)*VLOOKUP($L415,Vloersoorten[],3,FALSE)*VLOOKUP($Y415,Frequenties[],3,FALSE)*VLOOKUP(#REF!,Locaties[],3,FALSE),0)</f>
        <v>0</v>
      </c>
      <c r="AB415" s="33"/>
      <c r="AC415" s="33"/>
      <c r="AD415" s="33">
        <f>Ruimtestaat[[#This Row],[uren / jaar weekend]]*Tariefsopbouw!$D$40</f>
        <v>0</v>
      </c>
      <c r="AE415" s="86">
        <f>Ruimtestaat[[#This Row],[Prest. (m2 /jaar) weekend]]+Ruimtestaat[[#This Row],[Prest. (m2 /jaar) werkdagen]]</f>
        <v>10500</v>
      </c>
      <c r="AF415" s="86">
        <f>Ruimtestaat[[#This Row],[uren / jaar weekend]]+Ruimtestaat[[#This Row],[uren / jaar werkdagen]]</f>
        <v>0</v>
      </c>
      <c r="AG415" s="87">
        <f>Ruimtestaat[[#This Row],[kosten / jaar weekend]]+Ruimtestaat[[#This Row],[kosten / jaar werkdagen]]</f>
        <v>0</v>
      </c>
    </row>
    <row r="416" spans="1:33" ht="15" customHeight="1">
      <c r="A416" s="187">
        <v>4</v>
      </c>
      <c r="B416" s="21" t="str">
        <f>VLOOKUP(Ruimtestaat[[#This Row],[Code]],Locaties[#All],2,FALSE)</f>
        <v xml:space="preserve">Lyceumstraat </v>
      </c>
      <c r="C416" s="247" t="str">
        <f>VLOOKUP(Ruimtestaat[[#This Row],[Code]],Locaties[#All],4,FALSE)</f>
        <v>Lyceumstraat 36</v>
      </c>
      <c r="D416" s="247" t="str">
        <f>VLOOKUP(Ruimtestaat[[#This Row],[Code]],Locaties[#All],5,FALSE)</f>
        <v>7572 CR</v>
      </c>
      <c r="E416" s="187" t="str">
        <f>VLOOKUP(Ruimtestaat[[#This Row],[Code]],Locaties[#All],6,FALSE)</f>
        <v>Oldenzaal</v>
      </c>
      <c r="F416" s="248"/>
      <c r="G416" s="246" t="s">
        <v>679</v>
      </c>
      <c r="H416" s="246" t="s">
        <v>1088</v>
      </c>
      <c r="I416" s="248" t="s">
        <v>1089</v>
      </c>
      <c r="J416" s="247">
        <v>6</v>
      </c>
      <c r="K416" s="247" t="str">
        <f>VLOOKUP(Ruimtestaat[[#This Row],[Ruimte code]],Ruimtegroepen[#All],2,FALSE)</f>
        <v>Gangen/hallen</v>
      </c>
      <c r="L416" s="247" t="s">
        <v>677</v>
      </c>
      <c r="M416" s="249" t="s">
        <v>1200</v>
      </c>
      <c r="N416" s="200">
        <v>34</v>
      </c>
      <c r="O416" s="190"/>
      <c r="P416" s="231" t="str">
        <f>VLOOKUP(Ruimtestaat[[#This Row],[Ruimte code]],Ruimtegroepen[#All],4,FALSE)</f>
        <v>V  (Verkeersruimte)</v>
      </c>
      <c r="Q416" s="201"/>
      <c r="R416" s="202">
        <v>42</v>
      </c>
      <c r="S416" s="202" t="s">
        <v>16</v>
      </c>
      <c r="T416" s="202">
        <f>IF(R416&gt;0,IF(RIGHT(Ruimtestaat[[#This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416" s="202">
        <f>IF(T416&gt;0,VLOOKUP($J416,Ruimtegroepen[],3,FALSE)*VLOOKUP($L416,Vloersoorten[],3,FALSE)*VLOOKUP($S416,Frequenties[],3,FALSE)*VLOOKUP($A416,Locaties[],3,FALSE),0)</f>
        <v>0</v>
      </c>
      <c r="V416" s="202">
        <f>Ruimtestaat[[#This Row],[Uitvoeringen werkdagen]]*Ruimtestaat[[#This Row],[Oppervlak (netto)]]</f>
        <v>408</v>
      </c>
      <c r="W416" s="242">
        <f>IF(U416&gt;0,Ruimtestaat[[#This Row],[Prest. (m2 /jaar) werkdagen]]/Ruimtestaat[[#This Row],[Norm (m2/uur) werkdagen]],0)</f>
        <v>0</v>
      </c>
      <c r="X416" s="243">
        <f>Ruimtestaat[[#This Row],[uren / jaar werkdagen]]*Tariefsopbouw!$D$38</f>
        <v>0</v>
      </c>
      <c r="Y416" s="33"/>
      <c r="Z416" s="33">
        <f>IF(Ruimtestaat[[#This Row],[Frequentie weekend]]&gt;0,VALUE(LEFT(Y416,1))*R416,0)</f>
        <v>0</v>
      </c>
      <c r="AA416" s="33">
        <f>IF($Z416&gt;0,VLOOKUP($J416,Ruimtegroepen[],3,FALSE)*VLOOKUP($L416,Vloersoorten[],3,FALSE)*VLOOKUP($Y416,Frequenties[],3,FALSE)*VLOOKUP(#REF!,Locaties[],3,FALSE),0)</f>
        <v>0</v>
      </c>
      <c r="AB416" s="33"/>
      <c r="AC416" s="33"/>
      <c r="AD416" s="33">
        <f>Ruimtestaat[[#This Row],[uren / jaar weekend]]*Tariefsopbouw!$D$40</f>
        <v>0</v>
      </c>
      <c r="AE416" s="86">
        <f>Ruimtestaat[[#This Row],[Prest. (m2 /jaar) weekend]]+Ruimtestaat[[#This Row],[Prest. (m2 /jaar) werkdagen]]</f>
        <v>408</v>
      </c>
      <c r="AF416" s="86">
        <f>Ruimtestaat[[#This Row],[uren / jaar weekend]]+Ruimtestaat[[#This Row],[uren / jaar werkdagen]]</f>
        <v>0</v>
      </c>
      <c r="AG416" s="87">
        <f>Ruimtestaat[[#This Row],[kosten / jaar weekend]]+Ruimtestaat[[#This Row],[kosten / jaar werkdagen]]</f>
        <v>0</v>
      </c>
    </row>
    <row r="417" spans="1:33" ht="15" customHeight="1">
      <c r="A417" s="187">
        <v>4</v>
      </c>
      <c r="B417" s="21" t="str">
        <f>VLOOKUP(Ruimtestaat[[#This Row],[Code]],Locaties[#All],2,FALSE)</f>
        <v xml:space="preserve">Lyceumstraat </v>
      </c>
      <c r="C417" s="247" t="str">
        <f>VLOOKUP(Ruimtestaat[[#This Row],[Code]],Locaties[#All],4,FALSE)</f>
        <v>Lyceumstraat 36</v>
      </c>
      <c r="D417" s="247" t="str">
        <f>VLOOKUP(Ruimtestaat[[#This Row],[Code]],Locaties[#All],5,FALSE)</f>
        <v>7572 CR</v>
      </c>
      <c r="E417" s="187" t="str">
        <f>VLOOKUP(Ruimtestaat[[#This Row],[Code]],Locaties[#All],6,FALSE)</f>
        <v>Oldenzaal</v>
      </c>
      <c r="F417" s="248"/>
      <c r="G417" s="246" t="s">
        <v>679</v>
      </c>
      <c r="H417" s="246" t="s">
        <v>1090</v>
      </c>
      <c r="I417" s="248" t="s">
        <v>611</v>
      </c>
      <c r="J417" s="187">
        <v>19</v>
      </c>
      <c r="K417" s="187" t="str">
        <f>VLOOKUP(Ruimtestaat[[#This Row],[Ruimte code]],Ruimtegroepen[#All],2,FALSE)</f>
        <v>Kleedruimtes</v>
      </c>
      <c r="L417" s="247" t="s">
        <v>677</v>
      </c>
      <c r="M417" s="249" t="s">
        <v>1200</v>
      </c>
      <c r="N417" s="200">
        <v>16</v>
      </c>
      <c r="O417" s="190"/>
      <c r="P417" s="231" t="str">
        <f>VLOOKUP(Ruimtestaat[[#This Row],[Ruimte code]],Ruimtegroepen[#All],4,FALSE)</f>
        <v>V  (Verkeersruimte)</v>
      </c>
      <c r="Q417" s="201"/>
      <c r="R417" s="202">
        <v>42</v>
      </c>
      <c r="S417" s="202" t="s">
        <v>19</v>
      </c>
      <c r="T417" s="202">
        <f>IF(R417&gt;0,IF(RIGHT(Ruimtestaat[[#This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417" s="202">
        <f>IF(T417&gt;0,VLOOKUP($J417,Ruimtegroepen[],3,FALSE)*VLOOKUP($L417,Vloersoorten[],3,FALSE)*VLOOKUP($S417,Frequenties[],3,FALSE)*VLOOKUP($A417,Locaties[],3,FALSE),0)</f>
        <v>0</v>
      </c>
      <c r="V417" s="202">
        <f>Ruimtestaat[[#This Row],[Uitvoeringen werkdagen]]*Ruimtestaat[[#This Row],[Oppervlak (netto)]]</f>
        <v>6720</v>
      </c>
      <c r="W417" s="242">
        <f>IF(U417&gt;0,Ruimtestaat[[#This Row],[Prest. (m2 /jaar) werkdagen]]/Ruimtestaat[[#This Row],[Norm (m2/uur) werkdagen]],0)</f>
        <v>0</v>
      </c>
      <c r="X417" s="243">
        <f>Ruimtestaat[[#This Row],[uren / jaar werkdagen]]*Tariefsopbouw!$D$38</f>
        <v>0</v>
      </c>
      <c r="Y417" s="33"/>
      <c r="Z417" s="33">
        <f>IF(Ruimtestaat[[#This Row],[Frequentie weekend]]&gt;0,VALUE(LEFT(Y417,1))*R417,0)</f>
        <v>0</v>
      </c>
      <c r="AA417" s="33">
        <f>IF($Z417&gt;0,VLOOKUP($J417,Ruimtegroepen[],3,FALSE)*VLOOKUP($L417,Vloersoorten[],3,FALSE)*VLOOKUP($Y417,Frequenties[],3,FALSE)*VLOOKUP(#REF!,Locaties[],3,FALSE),0)</f>
        <v>0</v>
      </c>
      <c r="AB417" s="33"/>
      <c r="AC417" s="33"/>
      <c r="AD417" s="33">
        <f>Ruimtestaat[[#This Row],[uren / jaar weekend]]*Tariefsopbouw!$D$40</f>
        <v>0</v>
      </c>
      <c r="AE417" s="86">
        <f>Ruimtestaat[[#This Row],[Prest. (m2 /jaar) weekend]]+Ruimtestaat[[#This Row],[Prest. (m2 /jaar) werkdagen]]</f>
        <v>6720</v>
      </c>
      <c r="AF417" s="86">
        <f>Ruimtestaat[[#This Row],[uren / jaar weekend]]+Ruimtestaat[[#This Row],[uren / jaar werkdagen]]</f>
        <v>0</v>
      </c>
      <c r="AG417" s="87">
        <f>Ruimtestaat[[#This Row],[kosten / jaar weekend]]+Ruimtestaat[[#This Row],[kosten / jaar werkdagen]]</f>
        <v>0</v>
      </c>
    </row>
    <row r="418" spans="1:33" ht="15" customHeight="1">
      <c r="A418" s="187">
        <v>4</v>
      </c>
      <c r="B418" s="21" t="str">
        <f>VLOOKUP(Ruimtestaat[[#This Row],[Code]],Locaties[#All],2,FALSE)</f>
        <v xml:space="preserve">Lyceumstraat </v>
      </c>
      <c r="C418" s="247" t="str">
        <f>VLOOKUP(Ruimtestaat[[#This Row],[Code]],Locaties[#All],4,FALSE)</f>
        <v>Lyceumstraat 36</v>
      </c>
      <c r="D418" s="247" t="str">
        <f>VLOOKUP(Ruimtestaat[[#This Row],[Code]],Locaties[#All],5,FALSE)</f>
        <v>7572 CR</v>
      </c>
      <c r="E418" s="187" t="str">
        <f>VLOOKUP(Ruimtestaat[[#This Row],[Code]],Locaties[#All],6,FALSE)</f>
        <v>Oldenzaal</v>
      </c>
      <c r="F418" s="248"/>
      <c r="G418" s="246" t="s">
        <v>679</v>
      </c>
      <c r="H418" s="246" t="s">
        <v>1090</v>
      </c>
      <c r="I418" s="248" t="s">
        <v>591</v>
      </c>
      <c r="J418" s="231">
        <v>5</v>
      </c>
      <c r="K418" s="231" t="str">
        <f>VLOOKUP(Ruimtestaat[[#This Row],[Ruimte code]],Ruimtegroepen[#All],2,FALSE)</f>
        <v>Sanitair</v>
      </c>
      <c r="L418" s="247" t="s">
        <v>677</v>
      </c>
      <c r="M418" s="249" t="s">
        <v>1200</v>
      </c>
      <c r="N418" s="200">
        <v>2</v>
      </c>
      <c r="O418" s="190"/>
      <c r="P418" s="231" t="str">
        <f>VLOOKUP(Ruimtestaat[[#This Row],[Ruimte code]],Ruimtegroepen[#All],4,FALSE)</f>
        <v>S  (Sanitair)</v>
      </c>
      <c r="Q418" s="201"/>
      <c r="R418" s="202">
        <v>42</v>
      </c>
      <c r="S418" s="202" t="s">
        <v>19</v>
      </c>
      <c r="T418" s="202">
        <f>IF(R418&gt;0,IF(RIGHT(Ruimtestaat[[#This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418" s="202">
        <f>IF(T418&gt;0,VLOOKUP($J418,Ruimtegroepen[],3,FALSE)*VLOOKUP($L418,Vloersoorten[],3,FALSE)*VLOOKUP($S418,Frequenties[],3,FALSE)*VLOOKUP($A418,Locaties[],3,FALSE),0)</f>
        <v>0</v>
      </c>
      <c r="V418" s="202">
        <f>Ruimtestaat[[#This Row],[Uitvoeringen werkdagen]]*Ruimtestaat[[#This Row],[Oppervlak (netto)]]</f>
        <v>840</v>
      </c>
      <c r="W418" s="242">
        <f>IF(U418&gt;0,Ruimtestaat[[#This Row],[Prest. (m2 /jaar) werkdagen]]/Ruimtestaat[[#This Row],[Norm (m2/uur) werkdagen]],0)</f>
        <v>0</v>
      </c>
      <c r="X418" s="243">
        <f>Ruimtestaat[[#This Row],[uren / jaar werkdagen]]*Tariefsopbouw!$D$38</f>
        <v>0</v>
      </c>
      <c r="Y418" s="33"/>
      <c r="Z418" s="33">
        <f>IF(Ruimtestaat[[#This Row],[Frequentie weekend]]&gt;0,VALUE(LEFT(Y418,1))*R418,0)</f>
        <v>0</v>
      </c>
      <c r="AA418" s="33">
        <f>IF($Z418&gt;0,VLOOKUP($J418,Ruimtegroepen[],3,FALSE)*VLOOKUP($L418,Vloersoorten[],3,FALSE)*VLOOKUP($Y418,Frequenties[],3,FALSE)*VLOOKUP(#REF!,Locaties[],3,FALSE),0)</f>
        <v>0</v>
      </c>
      <c r="AB418" s="33"/>
      <c r="AC418" s="33"/>
      <c r="AD418" s="33">
        <f>Ruimtestaat[[#This Row],[uren / jaar weekend]]*Tariefsopbouw!$D$40</f>
        <v>0</v>
      </c>
      <c r="AE418" s="86">
        <f>Ruimtestaat[[#This Row],[Prest. (m2 /jaar) weekend]]+Ruimtestaat[[#This Row],[Prest. (m2 /jaar) werkdagen]]</f>
        <v>840</v>
      </c>
      <c r="AF418" s="86">
        <f>Ruimtestaat[[#This Row],[uren / jaar weekend]]+Ruimtestaat[[#This Row],[uren / jaar werkdagen]]</f>
        <v>0</v>
      </c>
      <c r="AG418" s="87">
        <f>Ruimtestaat[[#This Row],[kosten / jaar weekend]]+Ruimtestaat[[#This Row],[kosten / jaar werkdagen]]</f>
        <v>0</v>
      </c>
    </row>
    <row r="419" spans="1:33" ht="15" customHeight="1">
      <c r="A419" s="187">
        <v>4</v>
      </c>
      <c r="B419" s="21" t="str">
        <f>VLOOKUP(Ruimtestaat[[#This Row],[Code]],Locaties[#All],2,FALSE)</f>
        <v xml:space="preserve">Lyceumstraat </v>
      </c>
      <c r="C419" s="247" t="str">
        <f>VLOOKUP(Ruimtestaat[[#This Row],[Code]],Locaties[#All],4,FALSE)</f>
        <v>Lyceumstraat 36</v>
      </c>
      <c r="D419" s="247" t="str">
        <f>VLOOKUP(Ruimtestaat[[#This Row],[Code]],Locaties[#All],5,FALSE)</f>
        <v>7572 CR</v>
      </c>
      <c r="E419" s="187" t="str">
        <f>VLOOKUP(Ruimtestaat[[#This Row],[Code]],Locaties[#All],6,FALSE)</f>
        <v>Oldenzaal</v>
      </c>
      <c r="F419" s="248"/>
      <c r="G419" s="246" t="s">
        <v>679</v>
      </c>
      <c r="H419" s="246" t="s">
        <v>1090</v>
      </c>
      <c r="I419" s="248" t="s">
        <v>1091</v>
      </c>
      <c r="J419" s="187">
        <v>19</v>
      </c>
      <c r="K419" s="187" t="str">
        <f>VLOOKUP(Ruimtestaat[[#This Row],[Ruimte code]],Ruimtegroepen[#All],2,FALSE)</f>
        <v>Kleedruimtes</v>
      </c>
      <c r="L419" s="202" t="s">
        <v>108</v>
      </c>
      <c r="M419" s="249" t="s">
        <v>1201</v>
      </c>
      <c r="N419" s="200">
        <v>17</v>
      </c>
      <c r="O419" s="190"/>
      <c r="P419" s="231" t="str">
        <f>VLOOKUP(Ruimtestaat[[#This Row],[Ruimte code]],Ruimtegroepen[#All],4,FALSE)</f>
        <v>V  (Verkeersruimte)</v>
      </c>
      <c r="Q419" s="201"/>
      <c r="R419" s="202">
        <v>42</v>
      </c>
      <c r="S419" s="202" t="s">
        <v>19</v>
      </c>
      <c r="T419" s="202">
        <f>IF(R419&gt;0,IF(RIGHT(Ruimtestaat[[#This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419" s="202">
        <f>IF(T419&gt;0,VLOOKUP($J419,Ruimtegroepen[],3,FALSE)*VLOOKUP($L419,Vloersoorten[],3,FALSE)*VLOOKUP($S419,Frequenties[],3,FALSE)*VLOOKUP($A419,Locaties[],3,FALSE),0)</f>
        <v>0</v>
      </c>
      <c r="V419" s="202">
        <f>Ruimtestaat[[#This Row],[Uitvoeringen werkdagen]]*Ruimtestaat[[#This Row],[Oppervlak (netto)]]</f>
        <v>7140</v>
      </c>
      <c r="W419" s="242">
        <f>IF(U419&gt;0,Ruimtestaat[[#This Row],[Prest. (m2 /jaar) werkdagen]]/Ruimtestaat[[#This Row],[Norm (m2/uur) werkdagen]],0)</f>
        <v>0</v>
      </c>
      <c r="X419" s="243">
        <f>Ruimtestaat[[#This Row],[uren / jaar werkdagen]]*Tariefsopbouw!$D$38</f>
        <v>0</v>
      </c>
      <c r="Y419" s="33"/>
      <c r="Z419" s="33">
        <f>IF(Ruimtestaat[[#This Row],[Frequentie weekend]]&gt;0,VALUE(LEFT(Y419,1))*R419,0)</f>
        <v>0</v>
      </c>
      <c r="AA419" s="33">
        <f>IF($Z419&gt;0,VLOOKUP($J419,Ruimtegroepen[],3,FALSE)*VLOOKUP($L419,Vloersoorten[],3,FALSE)*VLOOKUP($Y419,Frequenties[],3,FALSE)*VLOOKUP(#REF!,Locaties[],3,FALSE),0)</f>
        <v>0</v>
      </c>
      <c r="AB419" s="33"/>
      <c r="AC419" s="33"/>
      <c r="AD419" s="33">
        <f>Ruimtestaat[[#This Row],[uren / jaar weekend]]*Tariefsopbouw!$D$40</f>
        <v>0</v>
      </c>
      <c r="AE419" s="86">
        <f>Ruimtestaat[[#This Row],[Prest. (m2 /jaar) weekend]]+Ruimtestaat[[#This Row],[Prest. (m2 /jaar) werkdagen]]</f>
        <v>7140</v>
      </c>
      <c r="AF419" s="86">
        <f>Ruimtestaat[[#This Row],[uren / jaar weekend]]+Ruimtestaat[[#This Row],[uren / jaar werkdagen]]</f>
        <v>0</v>
      </c>
      <c r="AG419" s="87">
        <f>Ruimtestaat[[#This Row],[kosten / jaar weekend]]+Ruimtestaat[[#This Row],[kosten / jaar werkdagen]]</f>
        <v>0</v>
      </c>
    </row>
    <row r="420" spans="1:33" ht="15" customHeight="1">
      <c r="A420" s="187">
        <v>4</v>
      </c>
      <c r="B420" s="21" t="str">
        <f>VLOOKUP(Ruimtestaat[[#This Row],[Code]],Locaties[#All],2,FALSE)</f>
        <v xml:space="preserve">Lyceumstraat </v>
      </c>
      <c r="C420" s="247" t="str">
        <f>VLOOKUP(Ruimtestaat[[#This Row],[Code]],Locaties[#All],4,FALSE)</f>
        <v>Lyceumstraat 36</v>
      </c>
      <c r="D420" s="247" t="str">
        <f>VLOOKUP(Ruimtestaat[[#This Row],[Code]],Locaties[#All],5,FALSE)</f>
        <v>7572 CR</v>
      </c>
      <c r="E420" s="187" t="str">
        <f>VLOOKUP(Ruimtestaat[[#This Row],[Code]],Locaties[#All],6,FALSE)</f>
        <v>Oldenzaal</v>
      </c>
      <c r="F420" s="248"/>
      <c r="G420" s="246" t="s">
        <v>679</v>
      </c>
      <c r="H420" s="246" t="s">
        <v>1092</v>
      </c>
      <c r="I420" s="248" t="s">
        <v>613</v>
      </c>
      <c r="J420" s="231">
        <v>19</v>
      </c>
      <c r="K420" s="231" t="str">
        <f>VLOOKUP(Ruimtestaat[[#This Row],[Ruimte code]],Ruimtegroepen[#All],2,FALSE)</f>
        <v>Kleedruimtes</v>
      </c>
      <c r="L420" s="247" t="s">
        <v>677</v>
      </c>
      <c r="M420" s="249" t="s">
        <v>1200</v>
      </c>
      <c r="N420" s="200">
        <v>16</v>
      </c>
      <c r="O420" s="190"/>
      <c r="P420" s="231" t="str">
        <f>VLOOKUP(Ruimtestaat[[#This Row],[Ruimte code]],Ruimtegroepen[#All],4,FALSE)</f>
        <v>V  (Verkeersruimte)</v>
      </c>
      <c r="Q420" s="201"/>
      <c r="R420" s="202">
        <v>42</v>
      </c>
      <c r="S420" s="202" t="s">
        <v>19</v>
      </c>
      <c r="T420" s="202">
        <f>IF(R420&gt;0,IF(RIGHT(Ruimtestaat[[#This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420" s="202">
        <f>IF(T420&gt;0,VLOOKUP($J420,Ruimtegroepen[],3,FALSE)*VLOOKUP($L420,Vloersoorten[],3,FALSE)*VLOOKUP($S420,Frequenties[],3,FALSE)*VLOOKUP($A420,Locaties[],3,FALSE),0)</f>
        <v>0</v>
      </c>
      <c r="V420" s="202">
        <f>Ruimtestaat[[#This Row],[Uitvoeringen werkdagen]]*Ruimtestaat[[#This Row],[Oppervlak (netto)]]</f>
        <v>6720</v>
      </c>
      <c r="W420" s="242">
        <f>IF(U420&gt;0,Ruimtestaat[[#This Row],[Prest. (m2 /jaar) werkdagen]]/Ruimtestaat[[#This Row],[Norm (m2/uur) werkdagen]],0)</f>
        <v>0</v>
      </c>
      <c r="X420" s="243">
        <f>Ruimtestaat[[#This Row],[uren / jaar werkdagen]]*Tariefsopbouw!$D$38</f>
        <v>0</v>
      </c>
      <c r="Y420" s="33"/>
      <c r="Z420" s="33">
        <f>IF(Ruimtestaat[[#This Row],[Frequentie weekend]]&gt;0,VALUE(LEFT(Y420,1))*R420,0)</f>
        <v>0</v>
      </c>
      <c r="AA420" s="33">
        <f>IF($Z420&gt;0,VLOOKUP($J420,Ruimtegroepen[],3,FALSE)*VLOOKUP($L420,Vloersoorten[],3,FALSE)*VLOOKUP($Y420,Frequenties[],3,FALSE)*VLOOKUP(#REF!,Locaties[],3,FALSE),0)</f>
        <v>0</v>
      </c>
      <c r="AB420" s="33"/>
      <c r="AC420" s="33"/>
      <c r="AD420" s="33">
        <f>Ruimtestaat[[#This Row],[uren / jaar weekend]]*Tariefsopbouw!$D$40</f>
        <v>0</v>
      </c>
      <c r="AE420" s="86">
        <f>Ruimtestaat[[#This Row],[Prest. (m2 /jaar) weekend]]+Ruimtestaat[[#This Row],[Prest. (m2 /jaar) werkdagen]]</f>
        <v>6720</v>
      </c>
      <c r="AF420" s="86">
        <f>Ruimtestaat[[#This Row],[uren / jaar weekend]]+Ruimtestaat[[#This Row],[uren / jaar werkdagen]]</f>
        <v>0</v>
      </c>
      <c r="AG420" s="87">
        <f>Ruimtestaat[[#This Row],[kosten / jaar weekend]]+Ruimtestaat[[#This Row],[kosten / jaar werkdagen]]</f>
        <v>0</v>
      </c>
    </row>
    <row r="421" spans="1:33" ht="15" customHeight="1">
      <c r="A421" s="187">
        <v>4</v>
      </c>
      <c r="B421" s="21" t="str">
        <f>VLOOKUP(Ruimtestaat[[#This Row],[Code]],Locaties[#All],2,FALSE)</f>
        <v xml:space="preserve">Lyceumstraat </v>
      </c>
      <c r="C421" s="247" t="str">
        <f>VLOOKUP(Ruimtestaat[[#This Row],[Code]],Locaties[#All],4,FALSE)</f>
        <v>Lyceumstraat 36</v>
      </c>
      <c r="D421" s="247" t="str">
        <f>VLOOKUP(Ruimtestaat[[#This Row],[Code]],Locaties[#All],5,FALSE)</f>
        <v>7572 CR</v>
      </c>
      <c r="E421" s="187" t="str">
        <f>VLOOKUP(Ruimtestaat[[#This Row],[Code]],Locaties[#All],6,FALSE)</f>
        <v>Oldenzaal</v>
      </c>
      <c r="F421" s="248"/>
      <c r="G421" s="246" t="s">
        <v>679</v>
      </c>
      <c r="H421" s="246" t="s">
        <v>1092</v>
      </c>
      <c r="I421" s="248" t="s">
        <v>608</v>
      </c>
      <c r="J421" s="187">
        <v>5</v>
      </c>
      <c r="K421" s="187" t="str">
        <f>VLOOKUP(Ruimtestaat[[#This Row],[Ruimte code]],Ruimtegroepen[#All],2,FALSE)</f>
        <v>Sanitair</v>
      </c>
      <c r="L421" s="247" t="s">
        <v>677</v>
      </c>
      <c r="M421" s="249" t="s">
        <v>1200</v>
      </c>
      <c r="N421" s="200">
        <v>2</v>
      </c>
      <c r="O421" s="190"/>
      <c r="P421" s="231" t="str">
        <f>VLOOKUP(Ruimtestaat[[#This Row],[Ruimte code]],Ruimtegroepen[#All],4,FALSE)</f>
        <v>S  (Sanitair)</v>
      </c>
      <c r="Q421" s="201"/>
      <c r="R421" s="202">
        <v>42</v>
      </c>
      <c r="S421" s="202" t="s">
        <v>19</v>
      </c>
      <c r="T421" s="202">
        <f>IF(R421&gt;0,IF(RIGHT(Ruimtestaat[[#This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421" s="202">
        <f>IF(T421&gt;0,VLOOKUP($J421,Ruimtegroepen[],3,FALSE)*VLOOKUP($L421,Vloersoorten[],3,FALSE)*VLOOKUP($S421,Frequenties[],3,FALSE)*VLOOKUP($A421,Locaties[],3,FALSE),0)</f>
        <v>0</v>
      </c>
      <c r="V421" s="202">
        <f>Ruimtestaat[[#This Row],[Uitvoeringen werkdagen]]*Ruimtestaat[[#This Row],[Oppervlak (netto)]]</f>
        <v>840</v>
      </c>
      <c r="W421" s="242">
        <f>IF(U421&gt;0,Ruimtestaat[[#This Row],[Prest. (m2 /jaar) werkdagen]]/Ruimtestaat[[#This Row],[Norm (m2/uur) werkdagen]],0)</f>
        <v>0</v>
      </c>
      <c r="X421" s="243">
        <f>Ruimtestaat[[#This Row],[uren / jaar werkdagen]]*Tariefsopbouw!$D$38</f>
        <v>0</v>
      </c>
      <c r="Y421" s="33"/>
      <c r="Z421" s="33">
        <f>IF(Ruimtestaat[[#This Row],[Frequentie weekend]]&gt;0,VALUE(LEFT(Y421,1))*R421,0)</f>
        <v>0</v>
      </c>
      <c r="AA421" s="33">
        <f>IF($Z421&gt;0,VLOOKUP($J421,Ruimtegroepen[],3,FALSE)*VLOOKUP($L421,Vloersoorten[],3,FALSE)*VLOOKUP($Y421,Frequenties[],3,FALSE)*VLOOKUP(#REF!,Locaties[],3,FALSE),0)</f>
        <v>0</v>
      </c>
      <c r="AB421" s="33"/>
      <c r="AC421" s="33"/>
      <c r="AD421" s="33">
        <f>Ruimtestaat[[#This Row],[uren / jaar weekend]]*Tariefsopbouw!$D$40</f>
        <v>0</v>
      </c>
      <c r="AE421" s="86">
        <f>Ruimtestaat[[#This Row],[Prest. (m2 /jaar) weekend]]+Ruimtestaat[[#This Row],[Prest. (m2 /jaar) werkdagen]]</f>
        <v>840</v>
      </c>
      <c r="AF421" s="86">
        <f>Ruimtestaat[[#This Row],[uren / jaar weekend]]+Ruimtestaat[[#This Row],[uren / jaar werkdagen]]</f>
        <v>0</v>
      </c>
      <c r="AG421" s="87">
        <f>Ruimtestaat[[#This Row],[kosten / jaar weekend]]+Ruimtestaat[[#This Row],[kosten / jaar werkdagen]]</f>
        <v>0</v>
      </c>
    </row>
    <row r="422" spans="1:33" ht="15" customHeight="1">
      <c r="A422" s="187">
        <v>4</v>
      </c>
      <c r="B422" s="21" t="str">
        <f>VLOOKUP(Ruimtestaat[[#This Row],[Code]],Locaties[#All],2,FALSE)</f>
        <v xml:space="preserve">Lyceumstraat </v>
      </c>
      <c r="C422" s="247" t="str">
        <f>VLOOKUP(Ruimtestaat[[#This Row],[Code]],Locaties[#All],4,FALSE)</f>
        <v>Lyceumstraat 36</v>
      </c>
      <c r="D422" s="247" t="str">
        <f>VLOOKUP(Ruimtestaat[[#This Row],[Code]],Locaties[#All],5,FALSE)</f>
        <v>7572 CR</v>
      </c>
      <c r="E422" s="187" t="str">
        <f>VLOOKUP(Ruimtestaat[[#This Row],[Code]],Locaties[#All],6,FALSE)</f>
        <v>Oldenzaal</v>
      </c>
      <c r="F422" s="248"/>
      <c r="G422" s="246" t="s">
        <v>679</v>
      </c>
      <c r="H422" s="246" t="s">
        <v>1092</v>
      </c>
      <c r="I422" s="248" t="s">
        <v>1093</v>
      </c>
      <c r="J422" s="187">
        <v>19</v>
      </c>
      <c r="K422" s="187" t="str">
        <f>VLOOKUP(Ruimtestaat[[#This Row],[Ruimte code]],Ruimtegroepen[#All],2,FALSE)</f>
        <v>Kleedruimtes</v>
      </c>
      <c r="L422" s="202" t="s">
        <v>108</v>
      </c>
      <c r="M422" s="249" t="s">
        <v>1201</v>
      </c>
      <c r="N422" s="200">
        <v>16</v>
      </c>
      <c r="O422" s="190"/>
      <c r="P422" s="231" t="str">
        <f>VLOOKUP(Ruimtestaat[[#This Row],[Ruimte code]],Ruimtegroepen[#All],4,FALSE)</f>
        <v>V  (Verkeersruimte)</v>
      </c>
      <c r="Q422" s="201"/>
      <c r="R422" s="202">
        <v>42</v>
      </c>
      <c r="S422" s="202" t="s">
        <v>19</v>
      </c>
      <c r="T422" s="202">
        <f>IF(R422&gt;0,IF(RIGHT(Ruimtestaat[[#This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422" s="202">
        <f>IF(T422&gt;0,VLOOKUP($J422,Ruimtegroepen[],3,FALSE)*VLOOKUP($L422,Vloersoorten[],3,FALSE)*VLOOKUP($S422,Frequenties[],3,FALSE)*VLOOKUP($A422,Locaties[],3,FALSE),0)</f>
        <v>0</v>
      </c>
      <c r="V422" s="202">
        <f>Ruimtestaat[[#This Row],[Uitvoeringen werkdagen]]*Ruimtestaat[[#This Row],[Oppervlak (netto)]]</f>
        <v>6720</v>
      </c>
      <c r="W422" s="242">
        <f>IF(U422&gt;0,Ruimtestaat[[#This Row],[Prest. (m2 /jaar) werkdagen]]/Ruimtestaat[[#This Row],[Norm (m2/uur) werkdagen]],0)</f>
        <v>0</v>
      </c>
      <c r="X422" s="243">
        <f>Ruimtestaat[[#This Row],[uren / jaar werkdagen]]*Tariefsopbouw!$D$38</f>
        <v>0</v>
      </c>
      <c r="Y422" s="33"/>
      <c r="Z422" s="33">
        <f>IF(Ruimtestaat[[#This Row],[Frequentie weekend]]&gt;0,VALUE(LEFT(Y422,1))*R422,0)</f>
        <v>0</v>
      </c>
      <c r="AA422" s="33">
        <f>IF($Z422&gt;0,VLOOKUP($J422,Ruimtegroepen[],3,FALSE)*VLOOKUP($L422,Vloersoorten[],3,FALSE)*VLOOKUP($Y422,Frequenties[],3,FALSE)*VLOOKUP(#REF!,Locaties[],3,FALSE),0)</f>
        <v>0</v>
      </c>
      <c r="AB422" s="33"/>
      <c r="AC422" s="33"/>
      <c r="AD422" s="33">
        <f>Ruimtestaat[[#This Row],[uren / jaar weekend]]*Tariefsopbouw!$D$40</f>
        <v>0</v>
      </c>
      <c r="AE422" s="86">
        <f>Ruimtestaat[[#This Row],[Prest. (m2 /jaar) weekend]]+Ruimtestaat[[#This Row],[Prest. (m2 /jaar) werkdagen]]</f>
        <v>6720</v>
      </c>
      <c r="AF422" s="86">
        <f>Ruimtestaat[[#This Row],[uren / jaar weekend]]+Ruimtestaat[[#This Row],[uren / jaar werkdagen]]</f>
        <v>0</v>
      </c>
      <c r="AG422" s="87">
        <f>Ruimtestaat[[#This Row],[kosten / jaar weekend]]+Ruimtestaat[[#This Row],[kosten / jaar werkdagen]]</f>
        <v>0</v>
      </c>
    </row>
    <row r="423" spans="1:33" ht="15" customHeight="1">
      <c r="A423" s="187">
        <v>4</v>
      </c>
      <c r="B423" s="21" t="str">
        <f>VLOOKUP(Ruimtestaat[[#This Row],[Code]],Locaties[#All],2,FALSE)</f>
        <v xml:space="preserve">Lyceumstraat </v>
      </c>
      <c r="C423" s="247" t="str">
        <f>VLOOKUP(Ruimtestaat[[#This Row],[Code]],Locaties[#All],4,FALSE)</f>
        <v>Lyceumstraat 36</v>
      </c>
      <c r="D423" s="247" t="str">
        <f>VLOOKUP(Ruimtestaat[[#This Row],[Code]],Locaties[#All],5,FALSE)</f>
        <v>7572 CR</v>
      </c>
      <c r="E423" s="187" t="str">
        <f>VLOOKUP(Ruimtestaat[[#This Row],[Code]],Locaties[#All],6,FALSE)</f>
        <v>Oldenzaal</v>
      </c>
      <c r="F423" s="248"/>
      <c r="G423" s="246" t="s">
        <v>679</v>
      </c>
      <c r="H423" s="246" t="s">
        <v>1094</v>
      </c>
      <c r="I423" s="248" t="s">
        <v>1095</v>
      </c>
      <c r="J423" s="187">
        <v>2</v>
      </c>
      <c r="K423" s="187" t="str">
        <f>VLOOKUP(Ruimtestaat[[#This Row],[Ruimte code]],Ruimtegroepen[#All],2,FALSE)</f>
        <v>Kantoren/kantoortuin</v>
      </c>
      <c r="L423" s="247" t="s">
        <v>677</v>
      </c>
      <c r="M423" s="249" t="s">
        <v>1200</v>
      </c>
      <c r="N423" s="200">
        <v>2</v>
      </c>
      <c r="O423" s="190"/>
      <c r="P423" s="231" t="str">
        <f>VLOOKUP(Ruimtestaat[[#This Row],[Ruimte code]],Ruimtegroepen[#All],4,FALSE)</f>
        <v>B  (Bureauruimte)</v>
      </c>
      <c r="Q423" s="201"/>
      <c r="R423" s="202">
        <v>42</v>
      </c>
      <c r="S423" s="202" t="s">
        <v>2</v>
      </c>
      <c r="T423" s="202">
        <f>IF(R423&gt;0,IF(RIGHT(Ruimtestaat[[#This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23" s="202">
        <f>IF(T423&gt;0,VLOOKUP($J423,Ruimtegroepen[],3,FALSE)*VLOOKUP($L423,Vloersoorten[],3,FALSE)*VLOOKUP($S423,Frequenties[],3,FALSE)*VLOOKUP($A423,Locaties[],3,FALSE),0)</f>
        <v>0</v>
      </c>
      <c r="V423" s="202">
        <f>Ruimtestaat[[#This Row],[Uitvoeringen werkdagen]]*Ruimtestaat[[#This Row],[Oppervlak (netto)]]</f>
        <v>420</v>
      </c>
      <c r="W423" s="242">
        <f>IF(U423&gt;0,Ruimtestaat[[#This Row],[Prest. (m2 /jaar) werkdagen]]/Ruimtestaat[[#This Row],[Norm (m2/uur) werkdagen]],0)</f>
        <v>0</v>
      </c>
      <c r="X423" s="243">
        <f>Ruimtestaat[[#This Row],[uren / jaar werkdagen]]*Tariefsopbouw!$D$38</f>
        <v>0</v>
      </c>
      <c r="Y423" s="33"/>
      <c r="Z423" s="33">
        <f>IF(Ruimtestaat[[#This Row],[Frequentie weekend]]&gt;0,VALUE(LEFT(Y423,1))*R423,0)</f>
        <v>0</v>
      </c>
      <c r="AA423" s="33">
        <f>IF($Z423&gt;0,VLOOKUP($J423,Ruimtegroepen[],3,FALSE)*VLOOKUP($L423,Vloersoorten[],3,FALSE)*VLOOKUP($Y423,Frequenties[],3,FALSE)*VLOOKUP(#REF!,Locaties[],3,FALSE),0)</f>
        <v>0</v>
      </c>
      <c r="AB423" s="33"/>
      <c r="AC423" s="33"/>
      <c r="AD423" s="33">
        <f>Ruimtestaat[[#This Row],[uren / jaar weekend]]*Tariefsopbouw!$D$40</f>
        <v>0</v>
      </c>
      <c r="AE423" s="86">
        <f>Ruimtestaat[[#This Row],[Prest. (m2 /jaar) weekend]]+Ruimtestaat[[#This Row],[Prest. (m2 /jaar) werkdagen]]</f>
        <v>420</v>
      </c>
      <c r="AF423" s="86">
        <f>Ruimtestaat[[#This Row],[uren / jaar weekend]]+Ruimtestaat[[#This Row],[uren / jaar werkdagen]]</f>
        <v>0</v>
      </c>
      <c r="AG423" s="87">
        <f>Ruimtestaat[[#This Row],[kosten / jaar weekend]]+Ruimtestaat[[#This Row],[kosten / jaar werkdagen]]</f>
        <v>0</v>
      </c>
    </row>
    <row r="424" spans="1:33" ht="15" customHeight="1">
      <c r="A424" s="187">
        <v>4</v>
      </c>
      <c r="B424" s="21" t="str">
        <f>VLOOKUP(Ruimtestaat[[#This Row],[Code]],Locaties[#All],2,FALSE)</f>
        <v xml:space="preserve">Lyceumstraat </v>
      </c>
      <c r="C424" s="247" t="str">
        <f>VLOOKUP(Ruimtestaat[[#This Row],[Code]],Locaties[#All],4,FALSE)</f>
        <v>Lyceumstraat 36</v>
      </c>
      <c r="D424" s="247" t="str">
        <f>VLOOKUP(Ruimtestaat[[#This Row],[Code]],Locaties[#All],5,FALSE)</f>
        <v>7572 CR</v>
      </c>
      <c r="E424" s="187" t="str">
        <f>VLOOKUP(Ruimtestaat[[#This Row],[Code]],Locaties[#All],6,FALSE)</f>
        <v>Oldenzaal</v>
      </c>
      <c r="F424" s="248"/>
      <c r="G424" s="246" t="s">
        <v>679</v>
      </c>
      <c r="H424" s="246" t="s">
        <v>1096</v>
      </c>
      <c r="I424" s="248" t="s">
        <v>1095</v>
      </c>
      <c r="J424" s="187">
        <v>2</v>
      </c>
      <c r="K424" s="187" t="str">
        <f>VLOOKUP(Ruimtestaat[[#This Row],[Ruimte code]],Ruimtegroepen[#All],2,FALSE)</f>
        <v>Kantoren/kantoortuin</v>
      </c>
      <c r="L424" s="247" t="s">
        <v>677</v>
      </c>
      <c r="M424" s="249" t="s">
        <v>1200</v>
      </c>
      <c r="N424" s="200">
        <v>2</v>
      </c>
      <c r="O424" s="190"/>
      <c r="P424" s="231" t="str">
        <f>VLOOKUP(Ruimtestaat[[#This Row],[Ruimte code]],Ruimtegroepen[#All],4,FALSE)</f>
        <v>B  (Bureauruimte)</v>
      </c>
      <c r="Q424" s="201"/>
      <c r="R424" s="202">
        <v>42</v>
      </c>
      <c r="S424" s="202" t="s">
        <v>2</v>
      </c>
      <c r="T424" s="202">
        <f>IF(R424&gt;0,IF(RIGHT(Ruimtestaat[[#This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24" s="202">
        <f>IF(T424&gt;0,VLOOKUP($J424,Ruimtegroepen[],3,FALSE)*VLOOKUP($L424,Vloersoorten[],3,FALSE)*VLOOKUP($S424,Frequenties[],3,FALSE)*VLOOKUP($A424,Locaties[],3,FALSE),0)</f>
        <v>0</v>
      </c>
      <c r="V424" s="202">
        <f>Ruimtestaat[[#This Row],[Uitvoeringen werkdagen]]*Ruimtestaat[[#This Row],[Oppervlak (netto)]]</f>
        <v>420</v>
      </c>
      <c r="W424" s="242">
        <f>IF(U424&gt;0,Ruimtestaat[[#This Row],[Prest. (m2 /jaar) werkdagen]]/Ruimtestaat[[#This Row],[Norm (m2/uur) werkdagen]],0)</f>
        <v>0</v>
      </c>
      <c r="X424" s="243">
        <f>Ruimtestaat[[#This Row],[uren / jaar werkdagen]]*Tariefsopbouw!$D$38</f>
        <v>0</v>
      </c>
      <c r="Y424" s="33"/>
      <c r="Z424" s="33">
        <f>IF(Ruimtestaat[[#This Row],[Frequentie weekend]]&gt;0,VALUE(LEFT(Y424,1))*R424,0)</f>
        <v>0</v>
      </c>
      <c r="AA424" s="33">
        <f>IF($Z424&gt;0,VLOOKUP($J424,Ruimtegroepen[],3,FALSE)*VLOOKUP($L424,Vloersoorten[],3,FALSE)*VLOOKUP($Y424,Frequenties[],3,FALSE)*VLOOKUP(#REF!,Locaties[],3,FALSE),0)</f>
        <v>0</v>
      </c>
      <c r="AB424" s="33"/>
      <c r="AC424" s="33"/>
      <c r="AD424" s="33">
        <f>Ruimtestaat[[#This Row],[uren / jaar weekend]]*Tariefsopbouw!$D$40</f>
        <v>0</v>
      </c>
      <c r="AE424" s="86">
        <f>Ruimtestaat[[#This Row],[Prest. (m2 /jaar) weekend]]+Ruimtestaat[[#This Row],[Prest. (m2 /jaar) werkdagen]]</f>
        <v>420</v>
      </c>
      <c r="AF424" s="86">
        <f>Ruimtestaat[[#This Row],[uren / jaar weekend]]+Ruimtestaat[[#This Row],[uren / jaar werkdagen]]</f>
        <v>0</v>
      </c>
      <c r="AG424" s="87">
        <f>Ruimtestaat[[#This Row],[kosten / jaar weekend]]+Ruimtestaat[[#This Row],[kosten / jaar werkdagen]]</f>
        <v>0</v>
      </c>
    </row>
    <row r="425" spans="1:33" ht="15" customHeight="1">
      <c r="A425" s="187">
        <v>4</v>
      </c>
      <c r="B425" s="21" t="str">
        <f>VLOOKUP(Ruimtestaat[[#This Row],[Code]],Locaties[#All],2,FALSE)</f>
        <v xml:space="preserve">Lyceumstraat </v>
      </c>
      <c r="C425" s="247" t="str">
        <f>VLOOKUP(Ruimtestaat[[#This Row],[Code]],Locaties[#All],4,FALSE)</f>
        <v>Lyceumstraat 36</v>
      </c>
      <c r="D425" s="247" t="str">
        <f>VLOOKUP(Ruimtestaat[[#This Row],[Code]],Locaties[#All],5,FALSE)</f>
        <v>7572 CR</v>
      </c>
      <c r="E425" s="187" t="str">
        <f>VLOOKUP(Ruimtestaat[[#This Row],[Code]],Locaties[#All],6,FALSE)</f>
        <v>Oldenzaal</v>
      </c>
      <c r="F425" s="248"/>
      <c r="G425" s="246" t="s">
        <v>679</v>
      </c>
      <c r="H425" s="246" t="s">
        <v>1097</v>
      </c>
      <c r="I425" s="248" t="s">
        <v>437</v>
      </c>
      <c r="J425" s="187">
        <v>19</v>
      </c>
      <c r="K425" s="187" t="str">
        <f>VLOOKUP(Ruimtestaat[[#This Row],[Ruimte code]],Ruimtegroepen[#All],2,FALSE)</f>
        <v>Kleedruimtes</v>
      </c>
      <c r="L425" s="247" t="s">
        <v>677</v>
      </c>
      <c r="M425" s="249" t="s">
        <v>1200</v>
      </c>
      <c r="N425" s="200">
        <v>16</v>
      </c>
      <c r="O425" s="190"/>
      <c r="P425" s="231" t="str">
        <f>VLOOKUP(Ruimtestaat[[#This Row],[Ruimte code]],Ruimtegroepen[#All],4,FALSE)</f>
        <v>V  (Verkeersruimte)</v>
      </c>
      <c r="Q425" s="201"/>
      <c r="R425" s="202">
        <v>42</v>
      </c>
      <c r="S425" s="202" t="s">
        <v>19</v>
      </c>
      <c r="T425" s="202">
        <f>IF(R425&gt;0,IF(RIGHT(Ruimtestaat[[#This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425" s="202">
        <f>IF(T425&gt;0,VLOOKUP($J425,Ruimtegroepen[],3,FALSE)*VLOOKUP($L425,Vloersoorten[],3,FALSE)*VLOOKUP($S425,Frequenties[],3,FALSE)*VLOOKUP($A425,Locaties[],3,FALSE),0)</f>
        <v>0</v>
      </c>
      <c r="V425" s="202">
        <f>Ruimtestaat[[#This Row],[Uitvoeringen werkdagen]]*Ruimtestaat[[#This Row],[Oppervlak (netto)]]</f>
        <v>6720</v>
      </c>
      <c r="W425" s="242">
        <f>IF(U425&gt;0,Ruimtestaat[[#This Row],[Prest. (m2 /jaar) werkdagen]]/Ruimtestaat[[#This Row],[Norm (m2/uur) werkdagen]],0)</f>
        <v>0</v>
      </c>
      <c r="X425" s="243">
        <f>Ruimtestaat[[#This Row],[uren / jaar werkdagen]]*Tariefsopbouw!$D$38</f>
        <v>0</v>
      </c>
      <c r="Y425" s="33"/>
      <c r="Z425" s="33">
        <f>IF(Ruimtestaat[[#This Row],[Frequentie weekend]]&gt;0,VALUE(LEFT(Y425,1))*R425,0)</f>
        <v>0</v>
      </c>
      <c r="AA425" s="33">
        <f>IF($Z425&gt;0,VLOOKUP($J425,Ruimtegroepen[],3,FALSE)*VLOOKUP($L425,Vloersoorten[],3,FALSE)*VLOOKUP($Y425,Frequenties[],3,FALSE)*VLOOKUP(#REF!,Locaties[],3,FALSE),0)</f>
        <v>0</v>
      </c>
      <c r="AB425" s="33"/>
      <c r="AC425" s="33"/>
      <c r="AD425" s="33">
        <f>Ruimtestaat[[#This Row],[uren / jaar weekend]]*Tariefsopbouw!$D$40</f>
        <v>0</v>
      </c>
      <c r="AE425" s="86">
        <f>Ruimtestaat[[#This Row],[Prest. (m2 /jaar) weekend]]+Ruimtestaat[[#This Row],[Prest. (m2 /jaar) werkdagen]]</f>
        <v>6720</v>
      </c>
      <c r="AF425" s="86">
        <f>Ruimtestaat[[#This Row],[uren / jaar weekend]]+Ruimtestaat[[#This Row],[uren / jaar werkdagen]]</f>
        <v>0</v>
      </c>
      <c r="AG425" s="87">
        <f>Ruimtestaat[[#This Row],[kosten / jaar weekend]]+Ruimtestaat[[#This Row],[kosten / jaar werkdagen]]</f>
        <v>0</v>
      </c>
    </row>
    <row r="426" spans="1:33" ht="15" customHeight="1">
      <c r="A426" s="187">
        <v>4</v>
      </c>
      <c r="B426" s="21" t="str">
        <f>VLOOKUP(Ruimtestaat[[#This Row],[Code]],Locaties[#All],2,FALSE)</f>
        <v xml:space="preserve">Lyceumstraat </v>
      </c>
      <c r="C426" s="247" t="str">
        <f>VLOOKUP(Ruimtestaat[[#This Row],[Code]],Locaties[#All],4,FALSE)</f>
        <v>Lyceumstraat 36</v>
      </c>
      <c r="D426" s="247" t="str">
        <f>VLOOKUP(Ruimtestaat[[#This Row],[Code]],Locaties[#All],5,FALSE)</f>
        <v>7572 CR</v>
      </c>
      <c r="E426" s="187" t="str">
        <f>VLOOKUP(Ruimtestaat[[#This Row],[Code]],Locaties[#All],6,FALSE)</f>
        <v>Oldenzaal</v>
      </c>
      <c r="F426" s="248"/>
      <c r="G426" s="246" t="s">
        <v>679</v>
      </c>
      <c r="H426" s="246" t="s">
        <v>1097</v>
      </c>
      <c r="I426" s="248" t="s">
        <v>417</v>
      </c>
      <c r="J426" s="187">
        <v>5</v>
      </c>
      <c r="K426" s="187" t="str">
        <f>VLOOKUP(Ruimtestaat[[#This Row],[Ruimte code]],Ruimtegroepen[#All],2,FALSE)</f>
        <v>Sanitair</v>
      </c>
      <c r="L426" s="247" t="s">
        <v>677</v>
      </c>
      <c r="M426" s="249" t="s">
        <v>1200</v>
      </c>
      <c r="N426" s="200">
        <v>2.5</v>
      </c>
      <c r="O426" s="190"/>
      <c r="P426" s="231" t="str">
        <f>VLOOKUP(Ruimtestaat[[#This Row],[Ruimte code]],Ruimtegroepen[#All],4,FALSE)</f>
        <v>S  (Sanitair)</v>
      </c>
      <c r="Q426" s="201"/>
      <c r="R426" s="202">
        <v>42</v>
      </c>
      <c r="S426" s="202" t="s">
        <v>19</v>
      </c>
      <c r="T426" s="202">
        <f>IF(R426&gt;0,IF(RIGHT(Ruimtestaat[[#This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426" s="202">
        <f>IF(T426&gt;0,VLOOKUP($J426,Ruimtegroepen[],3,FALSE)*VLOOKUP($L426,Vloersoorten[],3,FALSE)*VLOOKUP($S426,Frequenties[],3,FALSE)*VLOOKUP($A426,Locaties[],3,FALSE),0)</f>
        <v>0</v>
      </c>
      <c r="V426" s="202">
        <f>Ruimtestaat[[#This Row],[Uitvoeringen werkdagen]]*Ruimtestaat[[#This Row],[Oppervlak (netto)]]</f>
        <v>1050</v>
      </c>
      <c r="W426" s="242">
        <f>IF(U426&gt;0,Ruimtestaat[[#This Row],[Prest. (m2 /jaar) werkdagen]]/Ruimtestaat[[#This Row],[Norm (m2/uur) werkdagen]],0)</f>
        <v>0</v>
      </c>
      <c r="X426" s="243">
        <f>Ruimtestaat[[#This Row],[uren / jaar werkdagen]]*Tariefsopbouw!$D$38</f>
        <v>0</v>
      </c>
      <c r="Y426" s="33"/>
      <c r="Z426" s="33">
        <f>IF(Ruimtestaat[[#This Row],[Frequentie weekend]]&gt;0,VALUE(LEFT(Y426,1))*R426,0)</f>
        <v>0</v>
      </c>
      <c r="AA426" s="33">
        <f>IF($Z426&gt;0,VLOOKUP($J426,Ruimtegroepen[],3,FALSE)*VLOOKUP($L426,Vloersoorten[],3,FALSE)*VLOOKUP($Y426,Frequenties[],3,FALSE)*VLOOKUP(#REF!,Locaties[],3,FALSE),0)</f>
        <v>0</v>
      </c>
      <c r="AB426" s="33"/>
      <c r="AC426" s="33"/>
      <c r="AD426" s="33">
        <f>Ruimtestaat[[#This Row],[uren / jaar weekend]]*Tariefsopbouw!$D$40</f>
        <v>0</v>
      </c>
      <c r="AE426" s="86">
        <f>Ruimtestaat[[#This Row],[Prest. (m2 /jaar) weekend]]+Ruimtestaat[[#This Row],[Prest. (m2 /jaar) werkdagen]]</f>
        <v>1050</v>
      </c>
      <c r="AF426" s="86">
        <f>Ruimtestaat[[#This Row],[uren / jaar weekend]]+Ruimtestaat[[#This Row],[uren / jaar werkdagen]]</f>
        <v>0</v>
      </c>
      <c r="AG426" s="87">
        <f>Ruimtestaat[[#This Row],[kosten / jaar weekend]]+Ruimtestaat[[#This Row],[kosten / jaar werkdagen]]</f>
        <v>0</v>
      </c>
    </row>
    <row r="427" spans="1:33" ht="15" customHeight="1">
      <c r="A427" s="187">
        <v>4</v>
      </c>
      <c r="B427" s="21" t="str">
        <f>VLOOKUP(Ruimtestaat[[#This Row],[Code]],Locaties[#All],2,FALSE)</f>
        <v xml:space="preserve">Lyceumstraat </v>
      </c>
      <c r="C427" s="247" t="str">
        <f>VLOOKUP(Ruimtestaat[[#This Row],[Code]],Locaties[#All],4,FALSE)</f>
        <v>Lyceumstraat 36</v>
      </c>
      <c r="D427" s="247" t="str">
        <f>VLOOKUP(Ruimtestaat[[#This Row],[Code]],Locaties[#All],5,FALSE)</f>
        <v>7572 CR</v>
      </c>
      <c r="E427" s="187" t="str">
        <f>VLOOKUP(Ruimtestaat[[#This Row],[Code]],Locaties[#All],6,FALSE)</f>
        <v>Oldenzaal</v>
      </c>
      <c r="F427" s="248"/>
      <c r="G427" s="246" t="s">
        <v>679</v>
      </c>
      <c r="H427" s="246" t="s">
        <v>1098</v>
      </c>
      <c r="I427" s="248" t="s">
        <v>1099</v>
      </c>
      <c r="J427" s="187">
        <v>5</v>
      </c>
      <c r="K427" s="187" t="str">
        <f>VLOOKUP(Ruimtestaat[[#This Row],[Ruimte code]],Ruimtegroepen[#All],2,FALSE)</f>
        <v>Sanitair</v>
      </c>
      <c r="L427" s="247" t="s">
        <v>677</v>
      </c>
      <c r="M427" s="249" t="s">
        <v>1200</v>
      </c>
      <c r="N427" s="200">
        <v>2</v>
      </c>
      <c r="O427" s="190"/>
      <c r="P427" s="231" t="str">
        <f>VLOOKUP(Ruimtestaat[[#This Row],[Ruimte code]],Ruimtegroepen[#All],4,FALSE)</f>
        <v>S  (Sanitair)</v>
      </c>
      <c r="Q427" s="201"/>
      <c r="R427" s="202">
        <v>42</v>
      </c>
      <c r="S427" s="202" t="s">
        <v>19</v>
      </c>
      <c r="T427" s="202">
        <f>IF(R427&gt;0,IF(RIGHT(Ruimtestaat[[#This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427" s="202">
        <f>IF(T427&gt;0,VLOOKUP($J427,Ruimtegroepen[],3,FALSE)*VLOOKUP($L427,Vloersoorten[],3,FALSE)*VLOOKUP($S427,Frequenties[],3,FALSE)*VLOOKUP($A427,Locaties[],3,FALSE),0)</f>
        <v>0</v>
      </c>
      <c r="V427" s="202">
        <f>Ruimtestaat[[#This Row],[Uitvoeringen werkdagen]]*Ruimtestaat[[#This Row],[Oppervlak (netto)]]</f>
        <v>840</v>
      </c>
      <c r="W427" s="242">
        <f>IF(U427&gt;0,Ruimtestaat[[#This Row],[Prest. (m2 /jaar) werkdagen]]/Ruimtestaat[[#This Row],[Norm (m2/uur) werkdagen]],0)</f>
        <v>0</v>
      </c>
      <c r="X427" s="243">
        <f>Ruimtestaat[[#This Row],[uren / jaar werkdagen]]*Tariefsopbouw!$D$38</f>
        <v>0</v>
      </c>
      <c r="Y427" s="33"/>
      <c r="Z427" s="33">
        <f>IF(Ruimtestaat[[#This Row],[Frequentie weekend]]&gt;0,VALUE(LEFT(Y427,1))*R427,0)</f>
        <v>0</v>
      </c>
      <c r="AA427" s="33">
        <f>IF($Z427&gt;0,VLOOKUP($J427,Ruimtegroepen[],3,FALSE)*VLOOKUP($L427,Vloersoorten[],3,FALSE)*VLOOKUP($Y427,Frequenties[],3,FALSE)*VLOOKUP(#REF!,Locaties[],3,FALSE),0)</f>
        <v>0</v>
      </c>
      <c r="AB427" s="33"/>
      <c r="AC427" s="33"/>
      <c r="AD427" s="33">
        <f>Ruimtestaat[[#This Row],[uren / jaar weekend]]*Tariefsopbouw!$D$40</f>
        <v>0</v>
      </c>
      <c r="AE427" s="86">
        <f>Ruimtestaat[[#This Row],[Prest. (m2 /jaar) weekend]]+Ruimtestaat[[#This Row],[Prest. (m2 /jaar) werkdagen]]</f>
        <v>840</v>
      </c>
      <c r="AF427" s="86">
        <f>Ruimtestaat[[#This Row],[uren / jaar weekend]]+Ruimtestaat[[#This Row],[uren / jaar werkdagen]]</f>
        <v>0</v>
      </c>
      <c r="AG427" s="87">
        <f>Ruimtestaat[[#This Row],[kosten / jaar weekend]]+Ruimtestaat[[#This Row],[kosten / jaar werkdagen]]</f>
        <v>0</v>
      </c>
    </row>
    <row r="428" spans="1:33" ht="15" customHeight="1">
      <c r="A428" s="187">
        <v>4</v>
      </c>
      <c r="B428" s="21" t="str">
        <f>VLOOKUP(Ruimtestaat[[#This Row],[Code]],Locaties[#All],2,FALSE)</f>
        <v xml:space="preserve">Lyceumstraat </v>
      </c>
      <c r="C428" s="247" t="str">
        <f>VLOOKUP(Ruimtestaat[[#This Row],[Code]],Locaties[#All],4,FALSE)</f>
        <v>Lyceumstraat 36</v>
      </c>
      <c r="D428" s="247" t="str">
        <f>VLOOKUP(Ruimtestaat[[#This Row],[Code]],Locaties[#All],5,FALSE)</f>
        <v>7572 CR</v>
      </c>
      <c r="E428" s="187" t="str">
        <f>VLOOKUP(Ruimtestaat[[#This Row],[Code]],Locaties[#All],6,FALSE)</f>
        <v>Oldenzaal</v>
      </c>
      <c r="F428" s="248"/>
      <c r="G428" s="246" t="s">
        <v>679</v>
      </c>
      <c r="H428" s="246" t="s">
        <v>1100</v>
      </c>
      <c r="I428" s="248" t="s">
        <v>631</v>
      </c>
      <c r="J428" s="187">
        <v>19</v>
      </c>
      <c r="K428" s="187" t="str">
        <f>VLOOKUP(Ruimtestaat[[#This Row],[Ruimte code]],Ruimtegroepen[#All],2,FALSE)</f>
        <v>Kleedruimtes</v>
      </c>
      <c r="L428" s="202" t="s">
        <v>108</v>
      </c>
      <c r="M428" s="249" t="s">
        <v>1201</v>
      </c>
      <c r="N428" s="200">
        <v>16</v>
      </c>
      <c r="O428" s="190"/>
      <c r="P428" s="231" t="str">
        <f>VLOOKUP(Ruimtestaat[[#This Row],[Ruimte code]],Ruimtegroepen[#All],4,FALSE)</f>
        <v>V  (Verkeersruimte)</v>
      </c>
      <c r="Q428" s="201"/>
      <c r="R428" s="202">
        <v>42</v>
      </c>
      <c r="S428" s="202" t="s">
        <v>19</v>
      </c>
      <c r="T428" s="202">
        <f>IF(R428&gt;0,IF(RIGHT(Ruimtestaat[[#This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428" s="202">
        <f>IF(T428&gt;0,VLOOKUP($J428,Ruimtegroepen[],3,FALSE)*VLOOKUP($L428,Vloersoorten[],3,FALSE)*VLOOKUP($S428,Frequenties[],3,FALSE)*VLOOKUP($A428,Locaties[],3,FALSE),0)</f>
        <v>0</v>
      </c>
      <c r="V428" s="202">
        <f>Ruimtestaat[[#This Row],[Uitvoeringen werkdagen]]*Ruimtestaat[[#This Row],[Oppervlak (netto)]]</f>
        <v>6720</v>
      </c>
      <c r="W428" s="242">
        <f>IF(U428&gt;0,Ruimtestaat[[#This Row],[Prest. (m2 /jaar) werkdagen]]/Ruimtestaat[[#This Row],[Norm (m2/uur) werkdagen]],0)</f>
        <v>0</v>
      </c>
      <c r="X428" s="243">
        <f>Ruimtestaat[[#This Row],[uren / jaar werkdagen]]*Tariefsopbouw!$D$38</f>
        <v>0</v>
      </c>
      <c r="Y428" s="33"/>
      <c r="Z428" s="33">
        <f>IF(Ruimtestaat[[#This Row],[Frequentie weekend]]&gt;0,VALUE(LEFT(Y428,1))*R428,0)</f>
        <v>0</v>
      </c>
      <c r="AA428" s="33">
        <f>IF($Z428&gt;0,VLOOKUP($J428,Ruimtegroepen[],3,FALSE)*VLOOKUP($L428,Vloersoorten[],3,FALSE)*VLOOKUP($Y428,Frequenties[],3,FALSE)*VLOOKUP(#REF!,Locaties[],3,FALSE),0)</f>
        <v>0</v>
      </c>
      <c r="AB428" s="33"/>
      <c r="AC428" s="33"/>
      <c r="AD428" s="33">
        <f>Ruimtestaat[[#This Row],[uren / jaar weekend]]*Tariefsopbouw!$D$40</f>
        <v>0</v>
      </c>
      <c r="AE428" s="86">
        <f>Ruimtestaat[[#This Row],[Prest. (m2 /jaar) weekend]]+Ruimtestaat[[#This Row],[Prest. (m2 /jaar) werkdagen]]</f>
        <v>6720</v>
      </c>
      <c r="AF428" s="86">
        <f>Ruimtestaat[[#This Row],[uren / jaar weekend]]+Ruimtestaat[[#This Row],[uren / jaar werkdagen]]</f>
        <v>0</v>
      </c>
      <c r="AG428" s="87">
        <f>Ruimtestaat[[#This Row],[kosten / jaar weekend]]+Ruimtestaat[[#This Row],[kosten / jaar werkdagen]]</f>
        <v>0</v>
      </c>
    </row>
    <row r="429" spans="1:33" ht="15" customHeight="1">
      <c r="A429" s="187">
        <v>4</v>
      </c>
      <c r="B429" s="21" t="str">
        <f>VLOOKUP(Ruimtestaat[[#This Row],[Code]],Locaties[#All],2,FALSE)</f>
        <v xml:space="preserve">Lyceumstraat </v>
      </c>
      <c r="C429" s="247" t="str">
        <f>VLOOKUP(Ruimtestaat[[#This Row],[Code]],Locaties[#All],4,FALSE)</f>
        <v>Lyceumstraat 36</v>
      </c>
      <c r="D429" s="247" t="str">
        <f>VLOOKUP(Ruimtestaat[[#This Row],[Code]],Locaties[#All],5,FALSE)</f>
        <v>7572 CR</v>
      </c>
      <c r="E429" s="187" t="str">
        <f>VLOOKUP(Ruimtestaat[[#This Row],[Code]],Locaties[#All],6,FALSE)</f>
        <v>Oldenzaal</v>
      </c>
      <c r="F429" s="248"/>
      <c r="G429" s="246" t="s">
        <v>679</v>
      </c>
      <c r="H429" s="246" t="s">
        <v>1100</v>
      </c>
      <c r="I429" s="248" t="s">
        <v>1101</v>
      </c>
      <c r="J429" s="187">
        <v>18</v>
      </c>
      <c r="K429" s="187" t="str">
        <f>VLOOKUP(Ruimtestaat[[#This Row],[Ruimte code]],Ruimtegroepen[#All],2,FALSE)</f>
        <v>Gymzaal</v>
      </c>
      <c r="L429" s="187" t="s">
        <v>109</v>
      </c>
      <c r="M429" s="249" t="s">
        <v>1208</v>
      </c>
      <c r="N429" s="200">
        <v>286</v>
      </c>
      <c r="O429" s="190"/>
      <c r="P429" s="231" t="str">
        <f>VLOOKUP(Ruimtestaat[[#This Row],[Ruimte code]],Ruimtegroepen[#All],4,FALSE)</f>
        <v>Sp  (Sportruimte)</v>
      </c>
      <c r="Q429" s="201"/>
      <c r="R429" s="202">
        <v>42</v>
      </c>
      <c r="S429" s="202" t="s">
        <v>2</v>
      </c>
      <c r="T429" s="202">
        <f>IF(R429&gt;0,IF(RIGHT(Ruimtestaat[[#This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29" s="202">
        <f>IF(T429&gt;0,VLOOKUP($J429,Ruimtegroepen[],3,FALSE)*VLOOKUP($L429,Vloersoorten[],3,FALSE)*VLOOKUP($S429,Frequenties[],3,FALSE)*VLOOKUP($A429,Locaties[],3,FALSE),0)</f>
        <v>0</v>
      </c>
      <c r="V429" s="202">
        <f>Ruimtestaat[[#This Row],[Uitvoeringen werkdagen]]*Ruimtestaat[[#This Row],[Oppervlak (netto)]]</f>
        <v>60060</v>
      </c>
      <c r="W429" s="242">
        <f>IF(U429&gt;0,Ruimtestaat[[#This Row],[Prest. (m2 /jaar) werkdagen]]/Ruimtestaat[[#This Row],[Norm (m2/uur) werkdagen]],0)</f>
        <v>0</v>
      </c>
      <c r="X429" s="243">
        <f>Ruimtestaat[[#This Row],[uren / jaar werkdagen]]*Tariefsopbouw!$D$38</f>
        <v>0</v>
      </c>
      <c r="Y429" s="33"/>
      <c r="Z429" s="33">
        <f>IF(Ruimtestaat[[#This Row],[Frequentie weekend]]&gt;0,VALUE(LEFT(Y429,1))*R429,0)</f>
        <v>0</v>
      </c>
      <c r="AA429" s="33">
        <f>IF($Z429&gt;0,VLOOKUP($J429,Ruimtegroepen[],3,FALSE)*VLOOKUP($L429,Vloersoorten[],3,FALSE)*VLOOKUP($Y429,Frequenties[],3,FALSE)*VLOOKUP(#REF!,Locaties[],3,FALSE),0)</f>
        <v>0</v>
      </c>
      <c r="AB429" s="33"/>
      <c r="AC429" s="33"/>
      <c r="AD429" s="33">
        <f>Ruimtestaat[[#This Row],[uren / jaar weekend]]*Tariefsopbouw!$D$40</f>
        <v>0</v>
      </c>
      <c r="AE429" s="86">
        <f>Ruimtestaat[[#This Row],[Prest. (m2 /jaar) weekend]]+Ruimtestaat[[#This Row],[Prest. (m2 /jaar) werkdagen]]</f>
        <v>60060</v>
      </c>
      <c r="AF429" s="86">
        <f>Ruimtestaat[[#This Row],[uren / jaar weekend]]+Ruimtestaat[[#This Row],[uren / jaar werkdagen]]</f>
        <v>0</v>
      </c>
      <c r="AG429" s="87">
        <f>Ruimtestaat[[#This Row],[kosten / jaar weekend]]+Ruimtestaat[[#This Row],[kosten / jaar werkdagen]]</f>
        <v>0</v>
      </c>
    </row>
    <row r="430" spans="1:33" ht="15" customHeight="1">
      <c r="A430" s="187">
        <v>4</v>
      </c>
      <c r="B430" s="21" t="str">
        <f>VLOOKUP(Ruimtestaat[[#This Row],[Code]],Locaties[#All],2,FALSE)</f>
        <v xml:space="preserve">Lyceumstraat </v>
      </c>
      <c r="C430" s="247" t="str">
        <f>VLOOKUP(Ruimtestaat[[#This Row],[Code]],Locaties[#All],4,FALSE)</f>
        <v>Lyceumstraat 36</v>
      </c>
      <c r="D430" s="247" t="str">
        <f>VLOOKUP(Ruimtestaat[[#This Row],[Code]],Locaties[#All],5,FALSE)</f>
        <v>7572 CR</v>
      </c>
      <c r="E430" s="187" t="str">
        <f>VLOOKUP(Ruimtestaat[[#This Row],[Code]],Locaties[#All],6,FALSE)</f>
        <v>Oldenzaal</v>
      </c>
      <c r="F430" s="248"/>
      <c r="G430" s="246" t="s">
        <v>679</v>
      </c>
      <c r="H430" s="246" t="s">
        <v>1102</v>
      </c>
      <c r="I430" s="248" t="s">
        <v>1099</v>
      </c>
      <c r="J430" s="187">
        <v>5</v>
      </c>
      <c r="K430" s="187" t="str">
        <f>VLOOKUP(Ruimtestaat[[#This Row],[Ruimte code]],Ruimtegroepen[#All],2,FALSE)</f>
        <v>Sanitair</v>
      </c>
      <c r="L430" s="202" t="s">
        <v>108</v>
      </c>
      <c r="M430" s="249" t="s">
        <v>1201</v>
      </c>
      <c r="N430" s="200">
        <v>2</v>
      </c>
      <c r="O430" s="190"/>
      <c r="P430" s="231" t="str">
        <f>VLOOKUP(Ruimtestaat[[#This Row],[Ruimte code]],Ruimtegroepen[#All],4,FALSE)</f>
        <v>S  (Sanitair)</v>
      </c>
      <c r="Q430" s="201"/>
      <c r="R430" s="202">
        <v>42</v>
      </c>
      <c r="S430" s="202" t="s">
        <v>19</v>
      </c>
      <c r="T430" s="202">
        <f>IF(R430&gt;0,IF(RIGHT(Ruimtestaat[[#This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430" s="202">
        <f>IF(T430&gt;0,VLOOKUP($J430,Ruimtegroepen[],3,FALSE)*VLOOKUP($L430,Vloersoorten[],3,FALSE)*VLOOKUP($S430,Frequenties[],3,FALSE)*VLOOKUP($A430,Locaties[],3,FALSE),0)</f>
        <v>0</v>
      </c>
      <c r="V430" s="202">
        <f>Ruimtestaat[[#This Row],[Uitvoeringen werkdagen]]*Ruimtestaat[[#This Row],[Oppervlak (netto)]]</f>
        <v>840</v>
      </c>
      <c r="W430" s="242">
        <f>IF(U430&gt;0,Ruimtestaat[[#This Row],[Prest. (m2 /jaar) werkdagen]]/Ruimtestaat[[#This Row],[Norm (m2/uur) werkdagen]],0)</f>
        <v>0</v>
      </c>
      <c r="X430" s="243">
        <f>Ruimtestaat[[#This Row],[uren / jaar werkdagen]]*Tariefsopbouw!$D$38</f>
        <v>0</v>
      </c>
      <c r="Y430" s="33"/>
      <c r="Z430" s="33">
        <f>IF(Ruimtestaat[[#This Row],[Frequentie weekend]]&gt;0,VALUE(LEFT(Y430,1))*R430,0)</f>
        <v>0</v>
      </c>
      <c r="AA430" s="33">
        <f>IF($Z430&gt;0,VLOOKUP($J430,Ruimtegroepen[],3,FALSE)*VLOOKUP($L430,Vloersoorten[],3,FALSE)*VLOOKUP($Y430,Frequenties[],3,FALSE)*VLOOKUP(#REF!,Locaties[],3,FALSE),0)</f>
        <v>0</v>
      </c>
      <c r="AB430" s="33"/>
      <c r="AC430" s="33"/>
      <c r="AD430" s="33">
        <f>Ruimtestaat[[#This Row],[uren / jaar weekend]]*Tariefsopbouw!$D$40</f>
        <v>0</v>
      </c>
      <c r="AE430" s="86">
        <f>Ruimtestaat[[#This Row],[Prest. (m2 /jaar) weekend]]+Ruimtestaat[[#This Row],[Prest. (m2 /jaar) werkdagen]]</f>
        <v>840</v>
      </c>
      <c r="AF430" s="86">
        <f>Ruimtestaat[[#This Row],[uren / jaar weekend]]+Ruimtestaat[[#This Row],[uren / jaar werkdagen]]</f>
        <v>0</v>
      </c>
      <c r="AG430" s="87">
        <f>Ruimtestaat[[#This Row],[kosten / jaar weekend]]+Ruimtestaat[[#This Row],[kosten / jaar werkdagen]]</f>
        <v>0</v>
      </c>
    </row>
    <row r="431" spans="1:33" ht="15" customHeight="1">
      <c r="A431" s="187">
        <v>4</v>
      </c>
      <c r="B431" s="21" t="str">
        <f>VLOOKUP(Ruimtestaat[[#This Row],[Code]],Locaties[#All],2,FALSE)</f>
        <v xml:space="preserve">Lyceumstraat </v>
      </c>
      <c r="C431" s="247" t="str">
        <f>VLOOKUP(Ruimtestaat[[#This Row],[Code]],Locaties[#All],4,FALSE)</f>
        <v>Lyceumstraat 36</v>
      </c>
      <c r="D431" s="247" t="str">
        <f>VLOOKUP(Ruimtestaat[[#This Row],[Code]],Locaties[#All],5,FALSE)</f>
        <v>7572 CR</v>
      </c>
      <c r="E431" s="187" t="str">
        <f>VLOOKUP(Ruimtestaat[[#This Row],[Code]],Locaties[#All],6,FALSE)</f>
        <v>Oldenzaal</v>
      </c>
      <c r="F431" s="248"/>
      <c r="G431" s="246" t="s">
        <v>679</v>
      </c>
      <c r="H431" s="246" t="s">
        <v>1103</v>
      </c>
      <c r="I431" s="248" t="s">
        <v>437</v>
      </c>
      <c r="J431" s="187">
        <v>19</v>
      </c>
      <c r="K431" s="187" t="str">
        <f>VLOOKUP(Ruimtestaat[[#This Row],[Ruimte code]],Ruimtegroepen[#All],2,FALSE)</f>
        <v>Kleedruimtes</v>
      </c>
      <c r="L431" s="247" t="s">
        <v>677</v>
      </c>
      <c r="M431" s="249" t="s">
        <v>1200</v>
      </c>
      <c r="N431" s="200">
        <v>22</v>
      </c>
      <c r="O431" s="190"/>
      <c r="P431" s="231" t="str">
        <f>VLOOKUP(Ruimtestaat[[#This Row],[Ruimte code]],Ruimtegroepen[#All],4,FALSE)</f>
        <v>V  (Verkeersruimte)</v>
      </c>
      <c r="Q431" s="201"/>
      <c r="R431" s="202">
        <v>42</v>
      </c>
      <c r="S431" s="202" t="s">
        <v>19</v>
      </c>
      <c r="T431" s="202">
        <f>IF(R431&gt;0,IF(RIGHT(Ruimtestaat[[#This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431" s="202">
        <f>IF(T431&gt;0,VLOOKUP($J431,Ruimtegroepen[],3,FALSE)*VLOOKUP($L431,Vloersoorten[],3,FALSE)*VLOOKUP($S431,Frequenties[],3,FALSE)*VLOOKUP($A431,Locaties[],3,FALSE),0)</f>
        <v>0</v>
      </c>
      <c r="V431" s="202">
        <f>Ruimtestaat[[#This Row],[Uitvoeringen werkdagen]]*Ruimtestaat[[#This Row],[Oppervlak (netto)]]</f>
        <v>9240</v>
      </c>
      <c r="W431" s="242">
        <f>IF(U431&gt;0,Ruimtestaat[[#This Row],[Prest. (m2 /jaar) werkdagen]]/Ruimtestaat[[#This Row],[Norm (m2/uur) werkdagen]],0)</f>
        <v>0</v>
      </c>
      <c r="X431" s="243">
        <f>Ruimtestaat[[#This Row],[uren / jaar werkdagen]]*Tariefsopbouw!$D$38</f>
        <v>0</v>
      </c>
      <c r="Y431" s="33"/>
      <c r="Z431" s="33">
        <f>IF(Ruimtestaat[[#This Row],[Frequentie weekend]]&gt;0,VALUE(LEFT(Y431,1))*R431,0)</f>
        <v>0</v>
      </c>
      <c r="AA431" s="33">
        <f>IF($Z431&gt;0,VLOOKUP($J431,Ruimtegroepen[],3,FALSE)*VLOOKUP($L431,Vloersoorten[],3,FALSE)*VLOOKUP($Y431,Frequenties[],3,FALSE)*VLOOKUP(#REF!,Locaties[],3,FALSE),0)</f>
        <v>0</v>
      </c>
      <c r="AB431" s="33"/>
      <c r="AC431" s="33"/>
      <c r="AD431" s="33">
        <f>Ruimtestaat[[#This Row],[uren / jaar weekend]]*Tariefsopbouw!$D$40</f>
        <v>0</v>
      </c>
      <c r="AE431" s="86">
        <f>Ruimtestaat[[#This Row],[Prest. (m2 /jaar) weekend]]+Ruimtestaat[[#This Row],[Prest. (m2 /jaar) werkdagen]]</f>
        <v>9240</v>
      </c>
      <c r="AF431" s="86">
        <f>Ruimtestaat[[#This Row],[uren / jaar weekend]]+Ruimtestaat[[#This Row],[uren / jaar werkdagen]]</f>
        <v>0</v>
      </c>
      <c r="AG431" s="87">
        <f>Ruimtestaat[[#This Row],[kosten / jaar weekend]]+Ruimtestaat[[#This Row],[kosten / jaar werkdagen]]</f>
        <v>0</v>
      </c>
    </row>
    <row r="432" spans="1:33" ht="15" customHeight="1">
      <c r="A432" s="187">
        <v>4</v>
      </c>
      <c r="B432" s="21" t="str">
        <f>VLOOKUP(Ruimtestaat[[#This Row],[Code]],Locaties[#All],2,FALSE)</f>
        <v xml:space="preserve">Lyceumstraat </v>
      </c>
      <c r="C432" s="247" t="str">
        <f>VLOOKUP(Ruimtestaat[[#This Row],[Code]],Locaties[#All],4,FALSE)</f>
        <v>Lyceumstraat 36</v>
      </c>
      <c r="D432" s="247" t="str">
        <f>VLOOKUP(Ruimtestaat[[#This Row],[Code]],Locaties[#All],5,FALSE)</f>
        <v>7572 CR</v>
      </c>
      <c r="E432" s="187" t="str">
        <f>VLOOKUP(Ruimtestaat[[#This Row],[Code]],Locaties[#All],6,FALSE)</f>
        <v>Oldenzaal</v>
      </c>
      <c r="F432" s="248"/>
      <c r="G432" s="246" t="s">
        <v>679</v>
      </c>
      <c r="H432" s="246" t="s">
        <v>1103</v>
      </c>
      <c r="I432" s="248" t="s">
        <v>631</v>
      </c>
      <c r="J432" s="231">
        <v>19</v>
      </c>
      <c r="K432" s="231" t="str">
        <f>VLOOKUP(Ruimtestaat[[#This Row],[Ruimte code]],Ruimtegroepen[#All],2,FALSE)</f>
        <v>Kleedruimtes</v>
      </c>
      <c r="L432" s="202" t="s">
        <v>108</v>
      </c>
      <c r="M432" s="249" t="s">
        <v>1201</v>
      </c>
      <c r="N432" s="200">
        <v>12</v>
      </c>
      <c r="O432" s="190"/>
      <c r="P432" s="231" t="str">
        <f>VLOOKUP(Ruimtestaat[[#This Row],[Ruimte code]],Ruimtegroepen[#All],4,FALSE)</f>
        <v>V  (Verkeersruimte)</v>
      </c>
      <c r="Q432" s="201"/>
      <c r="R432" s="202">
        <v>42</v>
      </c>
      <c r="S432" s="202" t="s">
        <v>19</v>
      </c>
      <c r="T432" s="202">
        <f>IF(R432&gt;0,IF(RIGHT(Ruimtestaat[[#This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432" s="202">
        <f>IF(T432&gt;0,VLOOKUP($J432,Ruimtegroepen[],3,FALSE)*VLOOKUP($L432,Vloersoorten[],3,FALSE)*VLOOKUP($S432,Frequenties[],3,FALSE)*VLOOKUP($A432,Locaties[],3,FALSE),0)</f>
        <v>0</v>
      </c>
      <c r="V432" s="202">
        <f>Ruimtestaat[[#This Row],[Uitvoeringen werkdagen]]*Ruimtestaat[[#This Row],[Oppervlak (netto)]]</f>
        <v>5040</v>
      </c>
      <c r="W432" s="242">
        <f>IF(U432&gt;0,Ruimtestaat[[#This Row],[Prest. (m2 /jaar) werkdagen]]/Ruimtestaat[[#This Row],[Norm (m2/uur) werkdagen]],0)</f>
        <v>0</v>
      </c>
      <c r="X432" s="243">
        <f>Ruimtestaat[[#This Row],[uren / jaar werkdagen]]*Tariefsopbouw!$D$38</f>
        <v>0</v>
      </c>
      <c r="Y432" s="33"/>
      <c r="Z432" s="33">
        <f>IF(Ruimtestaat[[#This Row],[Frequentie weekend]]&gt;0,VALUE(LEFT(Y432,1))*R432,0)</f>
        <v>0</v>
      </c>
      <c r="AA432" s="33">
        <f>IF($Z432&gt;0,VLOOKUP($J432,Ruimtegroepen[],3,FALSE)*VLOOKUP($L432,Vloersoorten[],3,FALSE)*VLOOKUP($Y432,Frequenties[],3,FALSE)*VLOOKUP(#REF!,Locaties[],3,FALSE),0)</f>
        <v>0</v>
      </c>
      <c r="AB432" s="33"/>
      <c r="AC432" s="33"/>
      <c r="AD432" s="33">
        <f>Ruimtestaat[[#This Row],[uren / jaar weekend]]*Tariefsopbouw!$D$40</f>
        <v>0</v>
      </c>
      <c r="AE432" s="86">
        <f>Ruimtestaat[[#This Row],[Prest. (m2 /jaar) weekend]]+Ruimtestaat[[#This Row],[Prest. (m2 /jaar) werkdagen]]</f>
        <v>5040</v>
      </c>
      <c r="AF432" s="86">
        <f>Ruimtestaat[[#This Row],[uren / jaar weekend]]+Ruimtestaat[[#This Row],[uren / jaar werkdagen]]</f>
        <v>0</v>
      </c>
      <c r="AG432" s="87">
        <f>Ruimtestaat[[#This Row],[kosten / jaar weekend]]+Ruimtestaat[[#This Row],[kosten / jaar werkdagen]]</f>
        <v>0</v>
      </c>
    </row>
    <row r="433" spans="1:33" ht="15" customHeight="1">
      <c r="A433" s="187">
        <v>4</v>
      </c>
      <c r="B433" s="21" t="str">
        <f>VLOOKUP(Ruimtestaat[[#This Row],[Code]],Locaties[#All],2,FALSE)</f>
        <v xml:space="preserve">Lyceumstraat </v>
      </c>
      <c r="C433" s="247" t="str">
        <f>VLOOKUP(Ruimtestaat[[#This Row],[Code]],Locaties[#All],4,FALSE)</f>
        <v>Lyceumstraat 36</v>
      </c>
      <c r="D433" s="247" t="str">
        <f>VLOOKUP(Ruimtestaat[[#This Row],[Code]],Locaties[#All],5,FALSE)</f>
        <v>7572 CR</v>
      </c>
      <c r="E433" s="187" t="str">
        <f>VLOOKUP(Ruimtestaat[[#This Row],[Code]],Locaties[#All],6,FALSE)</f>
        <v>Oldenzaal</v>
      </c>
      <c r="F433" s="248"/>
      <c r="G433" s="246" t="s">
        <v>679</v>
      </c>
      <c r="H433" s="246" t="s">
        <v>1103</v>
      </c>
      <c r="I433" s="248" t="s">
        <v>417</v>
      </c>
      <c r="J433" s="187">
        <v>5</v>
      </c>
      <c r="K433" s="187" t="str">
        <f>VLOOKUP(Ruimtestaat[[#This Row],[Ruimte code]],Ruimtegroepen[#All],2,FALSE)</f>
        <v>Sanitair</v>
      </c>
      <c r="L433" s="247" t="s">
        <v>677</v>
      </c>
      <c r="M433" s="249" t="s">
        <v>1200</v>
      </c>
      <c r="N433" s="200">
        <v>2</v>
      </c>
      <c r="O433" s="190"/>
      <c r="P433" s="231" t="str">
        <f>VLOOKUP(Ruimtestaat[[#This Row],[Ruimte code]],Ruimtegroepen[#All],4,FALSE)</f>
        <v>S  (Sanitair)</v>
      </c>
      <c r="Q433" s="201"/>
      <c r="R433" s="202">
        <v>42</v>
      </c>
      <c r="S433" s="202" t="s">
        <v>19</v>
      </c>
      <c r="T433" s="202">
        <f>IF(R433&gt;0,IF(RIGHT(Ruimtestaat[[#This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433" s="202">
        <f>IF(T433&gt;0,VLOOKUP($J433,Ruimtegroepen[],3,FALSE)*VLOOKUP($L433,Vloersoorten[],3,FALSE)*VLOOKUP($S433,Frequenties[],3,FALSE)*VLOOKUP($A433,Locaties[],3,FALSE),0)</f>
        <v>0</v>
      </c>
      <c r="V433" s="202">
        <f>Ruimtestaat[[#This Row],[Uitvoeringen werkdagen]]*Ruimtestaat[[#This Row],[Oppervlak (netto)]]</f>
        <v>840</v>
      </c>
      <c r="W433" s="242">
        <f>IF(U433&gt;0,Ruimtestaat[[#This Row],[Prest. (m2 /jaar) werkdagen]]/Ruimtestaat[[#This Row],[Norm (m2/uur) werkdagen]],0)</f>
        <v>0</v>
      </c>
      <c r="X433" s="243">
        <f>Ruimtestaat[[#This Row],[uren / jaar werkdagen]]*Tariefsopbouw!$D$38</f>
        <v>0</v>
      </c>
      <c r="Y433" s="33"/>
      <c r="Z433" s="33">
        <f>IF(Ruimtestaat[[#This Row],[Frequentie weekend]]&gt;0,VALUE(LEFT(Y433,1))*R433,0)</f>
        <v>0</v>
      </c>
      <c r="AA433" s="33">
        <f>IF($Z433&gt;0,VLOOKUP($J433,Ruimtegroepen[],3,FALSE)*VLOOKUP($L433,Vloersoorten[],3,FALSE)*VLOOKUP($Y433,Frequenties[],3,FALSE)*VLOOKUP(#REF!,Locaties[],3,FALSE),0)</f>
        <v>0</v>
      </c>
      <c r="AB433" s="33"/>
      <c r="AC433" s="33"/>
      <c r="AD433" s="33">
        <f>Ruimtestaat[[#This Row],[uren / jaar weekend]]*Tariefsopbouw!$D$40</f>
        <v>0</v>
      </c>
      <c r="AE433" s="86">
        <f>Ruimtestaat[[#This Row],[Prest. (m2 /jaar) weekend]]+Ruimtestaat[[#This Row],[Prest. (m2 /jaar) werkdagen]]</f>
        <v>840</v>
      </c>
      <c r="AF433" s="86">
        <f>Ruimtestaat[[#This Row],[uren / jaar weekend]]+Ruimtestaat[[#This Row],[uren / jaar werkdagen]]</f>
        <v>0</v>
      </c>
      <c r="AG433" s="87">
        <f>Ruimtestaat[[#This Row],[kosten / jaar weekend]]+Ruimtestaat[[#This Row],[kosten / jaar werkdagen]]</f>
        <v>0</v>
      </c>
    </row>
    <row r="434" spans="1:33" ht="15" customHeight="1">
      <c r="A434" s="187">
        <v>4</v>
      </c>
      <c r="B434" s="21" t="str">
        <f>VLOOKUP(Ruimtestaat[[#This Row],[Code]],Locaties[#All],2,FALSE)</f>
        <v xml:space="preserve">Lyceumstraat </v>
      </c>
      <c r="C434" s="247" t="str">
        <f>VLOOKUP(Ruimtestaat[[#This Row],[Code]],Locaties[#All],4,FALSE)</f>
        <v>Lyceumstraat 36</v>
      </c>
      <c r="D434" s="247" t="str">
        <f>VLOOKUP(Ruimtestaat[[#This Row],[Code]],Locaties[#All],5,FALSE)</f>
        <v>7572 CR</v>
      </c>
      <c r="E434" s="187" t="str">
        <f>VLOOKUP(Ruimtestaat[[#This Row],[Code]],Locaties[#All],6,FALSE)</f>
        <v>Oldenzaal</v>
      </c>
      <c r="F434" s="248"/>
      <c r="G434" s="246" t="s">
        <v>679</v>
      </c>
      <c r="H434" s="246" t="s">
        <v>1104</v>
      </c>
      <c r="I434" s="248" t="s">
        <v>414</v>
      </c>
      <c r="J434" s="187">
        <v>6</v>
      </c>
      <c r="K434" s="187" t="str">
        <f>VLOOKUP(Ruimtestaat[[#This Row],[Ruimte code]],Ruimtegroepen[#All],2,FALSE)</f>
        <v>Gangen/hallen</v>
      </c>
      <c r="L434" s="247" t="s">
        <v>1204</v>
      </c>
      <c r="M434" s="249" t="s">
        <v>1205</v>
      </c>
      <c r="N434" s="200">
        <v>40</v>
      </c>
      <c r="O434" s="190"/>
      <c r="P434" s="231" t="str">
        <f>VLOOKUP(Ruimtestaat[[#This Row],[Ruimte code]],Ruimtegroepen[#All],4,FALSE)</f>
        <v>V  (Verkeersruimte)</v>
      </c>
      <c r="Q434" s="201"/>
      <c r="R434" s="202">
        <v>42</v>
      </c>
      <c r="S434" s="202" t="s">
        <v>2</v>
      </c>
      <c r="T434" s="202">
        <f>IF(R434&gt;0,IF(RIGHT(Ruimtestaat[[#This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34" s="202">
        <f>IF(T434&gt;0,VLOOKUP($J434,Ruimtegroepen[],3,FALSE)*VLOOKUP($L434,Vloersoorten[],3,FALSE)*VLOOKUP($S434,Frequenties[],3,FALSE)*VLOOKUP($A434,Locaties[],3,FALSE),0)</f>
        <v>0</v>
      </c>
      <c r="V434" s="202">
        <f>Ruimtestaat[[#This Row],[Uitvoeringen werkdagen]]*Ruimtestaat[[#This Row],[Oppervlak (netto)]]</f>
        <v>8400</v>
      </c>
      <c r="W434" s="242">
        <f>IF(U434&gt;0,Ruimtestaat[[#This Row],[Prest. (m2 /jaar) werkdagen]]/Ruimtestaat[[#This Row],[Norm (m2/uur) werkdagen]],0)</f>
        <v>0</v>
      </c>
      <c r="X434" s="243">
        <f>Ruimtestaat[[#This Row],[uren / jaar werkdagen]]*Tariefsopbouw!$D$38</f>
        <v>0</v>
      </c>
      <c r="Y434" s="33"/>
      <c r="Z434" s="33">
        <f>IF(Ruimtestaat[[#This Row],[Frequentie weekend]]&gt;0,VALUE(LEFT(Y434,1))*R434,0)</f>
        <v>0</v>
      </c>
      <c r="AA434" s="33">
        <f>IF($Z434&gt;0,VLOOKUP($J434,Ruimtegroepen[],3,FALSE)*VLOOKUP($L434,Vloersoorten[],3,FALSE)*VLOOKUP($Y434,Frequenties[],3,FALSE)*VLOOKUP(#REF!,Locaties[],3,FALSE),0)</f>
        <v>0</v>
      </c>
      <c r="AB434" s="33"/>
      <c r="AC434" s="33"/>
      <c r="AD434" s="33">
        <f>Ruimtestaat[[#This Row],[uren / jaar weekend]]*Tariefsopbouw!$D$40</f>
        <v>0</v>
      </c>
      <c r="AE434" s="86">
        <f>Ruimtestaat[[#This Row],[Prest. (m2 /jaar) weekend]]+Ruimtestaat[[#This Row],[Prest. (m2 /jaar) werkdagen]]</f>
        <v>8400</v>
      </c>
      <c r="AF434" s="86">
        <f>Ruimtestaat[[#This Row],[uren / jaar weekend]]+Ruimtestaat[[#This Row],[uren / jaar werkdagen]]</f>
        <v>0</v>
      </c>
      <c r="AG434" s="87">
        <f>Ruimtestaat[[#This Row],[kosten / jaar weekend]]+Ruimtestaat[[#This Row],[kosten / jaar werkdagen]]</f>
        <v>0</v>
      </c>
    </row>
    <row r="435" spans="1:33" ht="15" customHeight="1">
      <c r="A435" s="187">
        <v>4</v>
      </c>
      <c r="B435" s="21" t="str">
        <f>VLOOKUP(Ruimtestaat[[#This Row],[Code]],Locaties[#All],2,FALSE)</f>
        <v xml:space="preserve">Lyceumstraat </v>
      </c>
      <c r="C435" s="247" t="str">
        <f>VLOOKUP(Ruimtestaat[[#This Row],[Code]],Locaties[#All],4,FALSE)</f>
        <v>Lyceumstraat 36</v>
      </c>
      <c r="D435" s="247" t="str">
        <f>VLOOKUP(Ruimtestaat[[#This Row],[Code]],Locaties[#All],5,FALSE)</f>
        <v>7572 CR</v>
      </c>
      <c r="E435" s="187" t="str">
        <f>VLOOKUP(Ruimtestaat[[#This Row],[Code]],Locaties[#All],6,FALSE)</f>
        <v>Oldenzaal</v>
      </c>
      <c r="F435" s="248"/>
      <c r="G435" s="246" t="s">
        <v>679</v>
      </c>
      <c r="H435" s="246" t="s">
        <v>1105</v>
      </c>
      <c r="I435" s="248" t="s">
        <v>414</v>
      </c>
      <c r="J435" s="187">
        <v>6</v>
      </c>
      <c r="K435" s="187" t="str">
        <f>VLOOKUP(Ruimtestaat[[#This Row],[Ruimte code]],Ruimtegroepen[#All],2,FALSE)</f>
        <v>Gangen/hallen</v>
      </c>
      <c r="L435" s="247" t="s">
        <v>677</v>
      </c>
      <c r="M435" s="249" t="s">
        <v>1200</v>
      </c>
      <c r="N435" s="200">
        <v>176</v>
      </c>
      <c r="O435" s="190"/>
      <c r="P435" s="231" t="str">
        <f>VLOOKUP(Ruimtestaat[[#This Row],[Ruimte code]],Ruimtegroepen[#All],4,FALSE)</f>
        <v>V  (Verkeersruimte)</v>
      </c>
      <c r="Q435" s="201"/>
      <c r="R435" s="202">
        <v>42</v>
      </c>
      <c r="S435" s="202" t="s">
        <v>2</v>
      </c>
      <c r="T435" s="202">
        <f>IF(R435&gt;0,IF(RIGHT(Ruimtestaat[[#This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35" s="202">
        <f>IF(T435&gt;0,VLOOKUP($J435,Ruimtegroepen[],3,FALSE)*VLOOKUP($L435,Vloersoorten[],3,FALSE)*VLOOKUP($S435,Frequenties[],3,FALSE)*VLOOKUP($A435,Locaties[],3,FALSE),0)</f>
        <v>0</v>
      </c>
      <c r="V435" s="202">
        <f>Ruimtestaat[[#This Row],[Uitvoeringen werkdagen]]*Ruimtestaat[[#This Row],[Oppervlak (netto)]]</f>
        <v>36960</v>
      </c>
      <c r="W435" s="242">
        <f>IF(U435&gt;0,Ruimtestaat[[#This Row],[Prest. (m2 /jaar) werkdagen]]/Ruimtestaat[[#This Row],[Norm (m2/uur) werkdagen]],0)</f>
        <v>0</v>
      </c>
      <c r="X435" s="243">
        <f>Ruimtestaat[[#This Row],[uren / jaar werkdagen]]*Tariefsopbouw!$D$38</f>
        <v>0</v>
      </c>
      <c r="Y435" s="33"/>
      <c r="Z435" s="33">
        <f>IF(Ruimtestaat[[#This Row],[Frequentie weekend]]&gt;0,VALUE(LEFT(Y435,1))*R435,0)</f>
        <v>0</v>
      </c>
      <c r="AA435" s="33">
        <f>IF($Z435&gt;0,VLOOKUP($J435,Ruimtegroepen[],3,FALSE)*VLOOKUP($L435,Vloersoorten[],3,FALSE)*VLOOKUP($Y435,Frequenties[],3,FALSE)*VLOOKUP(#REF!,Locaties[],3,FALSE),0)</f>
        <v>0</v>
      </c>
      <c r="AB435" s="33"/>
      <c r="AC435" s="33"/>
      <c r="AD435" s="33">
        <f>Ruimtestaat[[#This Row],[uren / jaar weekend]]*Tariefsopbouw!$D$40</f>
        <v>0</v>
      </c>
      <c r="AE435" s="86">
        <f>Ruimtestaat[[#This Row],[Prest. (m2 /jaar) weekend]]+Ruimtestaat[[#This Row],[Prest. (m2 /jaar) werkdagen]]</f>
        <v>36960</v>
      </c>
      <c r="AF435" s="86">
        <f>Ruimtestaat[[#This Row],[uren / jaar weekend]]+Ruimtestaat[[#This Row],[uren / jaar werkdagen]]</f>
        <v>0</v>
      </c>
      <c r="AG435" s="87">
        <f>Ruimtestaat[[#This Row],[kosten / jaar weekend]]+Ruimtestaat[[#This Row],[kosten / jaar werkdagen]]</f>
        <v>0</v>
      </c>
    </row>
    <row r="436" spans="1:33" ht="15" customHeight="1">
      <c r="A436" s="187">
        <v>4</v>
      </c>
      <c r="B436" s="21" t="str">
        <f>VLOOKUP(Ruimtestaat[[#This Row],[Code]],Locaties[#All],2,FALSE)</f>
        <v xml:space="preserve">Lyceumstraat </v>
      </c>
      <c r="C436" s="247" t="str">
        <f>VLOOKUP(Ruimtestaat[[#This Row],[Code]],Locaties[#All],4,FALSE)</f>
        <v>Lyceumstraat 36</v>
      </c>
      <c r="D436" s="247" t="str">
        <f>VLOOKUP(Ruimtestaat[[#This Row],[Code]],Locaties[#All],5,FALSE)</f>
        <v>7572 CR</v>
      </c>
      <c r="E436" s="187" t="str">
        <f>VLOOKUP(Ruimtestaat[[#This Row],[Code]],Locaties[#All],6,FALSE)</f>
        <v>Oldenzaal</v>
      </c>
      <c r="F436" s="248"/>
      <c r="G436" s="246" t="s">
        <v>679</v>
      </c>
      <c r="H436" s="246" t="s">
        <v>1106</v>
      </c>
      <c r="I436" s="248" t="s">
        <v>414</v>
      </c>
      <c r="J436" s="187">
        <v>6</v>
      </c>
      <c r="K436" s="187" t="str">
        <f>VLOOKUP(Ruimtestaat[[#This Row],[Ruimte code]],Ruimtegroepen[#All],2,FALSE)</f>
        <v>Gangen/hallen</v>
      </c>
      <c r="L436" s="247" t="s">
        <v>1204</v>
      </c>
      <c r="M436" s="249" t="s">
        <v>1205</v>
      </c>
      <c r="N436" s="200">
        <v>45</v>
      </c>
      <c r="O436" s="190"/>
      <c r="P436" s="231" t="str">
        <f>VLOOKUP(Ruimtestaat[[#This Row],[Ruimte code]],Ruimtegroepen[#All],4,FALSE)</f>
        <v>V  (Verkeersruimte)</v>
      </c>
      <c r="Q436" s="201"/>
      <c r="R436" s="202">
        <v>42</v>
      </c>
      <c r="S436" s="202" t="s">
        <v>2</v>
      </c>
      <c r="T436" s="202">
        <f>IF(R436&gt;0,IF(RIGHT(Ruimtestaat[[#This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36" s="202">
        <f>IF(T436&gt;0,VLOOKUP($J436,Ruimtegroepen[],3,FALSE)*VLOOKUP($L436,Vloersoorten[],3,FALSE)*VLOOKUP($S436,Frequenties[],3,FALSE)*VLOOKUP($A436,Locaties[],3,FALSE),0)</f>
        <v>0</v>
      </c>
      <c r="V436" s="202">
        <f>Ruimtestaat[[#This Row],[Uitvoeringen werkdagen]]*Ruimtestaat[[#This Row],[Oppervlak (netto)]]</f>
        <v>9450</v>
      </c>
      <c r="W436" s="242">
        <f>IF(U436&gt;0,Ruimtestaat[[#This Row],[Prest. (m2 /jaar) werkdagen]]/Ruimtestaat[[#This Row],[Norm (m2/uur) werkdagen]],0)</f>
        <v>0</v>
      </c>
      <c r="X436" s="243">
        <f>Ruimtestaat[[#This Row],[uren / jaar werkdagen]]*Tariefsopbouw!$D$38</f>
        <v>0</v>
      </c>
      <c r="Y436" s="33"/>
      <c r="Z436" s="33">
        <f>IF(Ruimtestaat[[#This Row],[Frequentie weekend]]&gt;0,VALUE(LEFT(Y436,1))*R436,0)</f>
        <v>0</v>
      </c>
      <c r="AA436" s="33">
        <f>IF($Z436&gt;0,VLOOKUP($J436,Ruimtegroepen[],3,FALSE)*VLOOKUP($L436,Vloersoorten[],3,FALSE)*VLOOKUP($Y436,Frequenties[],3,FALSE)*VLOOKUP(#REF!,Locaties[],3,FALSE),0)</f>
        <v>0</v>
      </c>
      <c r="AB436" s="33"/>
      <c r="AC436" s="33"/>
      <c r="AD436" s="33">
        <f>Ruimtestaat[[#This Row],[uren / jaar weekend]]*Tariefsopbouw!$D$40</f>
        <v>0</v>
      </c>
      <c r="AE436" s="86">
        <f>Ruimtestaat[[#This Row],[Prest. (m2 /jaar) weekend]]+Ruimtestaat[[#This Row],[Prest. (m2 /jaar) werkdagen]]</f>
        <v>9450</v>
      </c>
      <c r="AF436" s="86">
        <f>Ruimtestaat[[#This Row],[uren / jaar weekend]]+Ruimtestaat[[#This Row],[uren / jaar werkdagen]]</f>
        <v>0</v>
      </c>
      <c r="AG436" s="87">
        <f>Ruimtestaat[[#This Row],[kosten / jaar weekend]]+Ruimtestaat[[#This Row],[kosten / jaar werkdagen]]</f>
        <v>0</v>
      </c>
    </row>
    <row r="437" spans="1:33" ht="15" customHeight="1">
      <c r="A437" s="187">
        <v>4</v>
      </c>
      <c r="B437" s="21" t="str">
        <f>VLOOKUP(Ruimtestaat[[#This Row],[Code]],Locaties[#All],2,FALSE)</f>
        <v xml:space="preserve">Lyceumstraat </v>
      </c>
      <c r="C437" s="247" t="str">
        <f>VLOOKUP(Ruimtestaat[[#This Row],[Code]],Locaties[#All],4,FALSE)</f>
        <v>Lyceumstraat 36</v>
      </c>
      <c r="D437" s="247" t="str">
        <f>VLOOKUP(Ruimtestaat[[#This Row],[Code]],Locaties[#All],5,FALSE)</f>
        <v>7572 CR</v>
      </c>
      <c r="E437" s="187" t="str">
        <f>VLOOKUP(Ruimtestaat[[#This Row],[Code]],Locaties[#All],6,FALSE)</f>
        <v>Oldenzaal</v>
      </c>
      <c r="F437" s="248"/>
      <c r="G437" s="246">
        <v>1</v>
      </c>
      <c r="H437" s="246" t="s">
        <v>1107</v>
      </c>
      <c r="I437" s="248" t="s">
        <v>1108</v>
      </c>
      <c r="J437" s="247">
        <v>2</v>
      </c>
      <c r="K437" s="247" t="str">
        <f>VLOOKUP(Ruimtestaat[[#This Row],[Ruimte code]],Ruimtegroepen[#All],2,FALSE)</f>
        <v>Kantoren/kantoortuin</v>
      </c>
      <c r="L437" s="247" t="s">
        <v>1204</v>
      </c>
      <c r="M437" s="249" t="s">
        <v>1205</v>
      </c>
      <c r="N437" s="200">
        <v>27</v>
      </c>
      <c r="O437" s="190"/>
      <c r="P437" s="231" t="str">
        <f>VLOOKUP(Ruimtestaat[[#This Row],[Ruimte code]],Ruimtegroepen[#All],4,FALSE)</f>
        <v>B  (Bureauruimte)</v>
      </c>
      <c r="Q437" s="201"/>
      <c r="R437" s="202">
        <v>42</v>
      </c>
      <c r="S437" s="202" t="s">
        <v>2</v>
      </c>
      <c r="T437" s="202">
        <f>IF(R437&gt;0,IF(RIGHT(Ruimtestaat[[#This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37" s="202">
        <f>IF(T437&gt;0,VLOOKUP($J437,Ruimtegroepen[],3,FALSE)*VLOOKUP($L437,Vloersoorten[],3,FALSE)*VLOOKUP($S437,Frequenties[],3,FALSE)*VLOOKUP($A437,Locaties[],3,FALSE),0)</f>
        <v>0</v>
      </c>
      <c r="V437" s="202">
        <f>Ruimtestaat[[#This Row],[Uitvoeringen werkdagen]]*Ruimtestaat[[#This Row],[Oppervlak (netto)]]</f>
        <v>5670</v>
      </c>
      <c r="W437" s="242">
        <f>IF(U437&gt;0,Ruimtestaat[[#This Row],[Prest. (m2 /jaar) werkdagen]]/Ruimtestaat[[#This Row],[Norm (m2/uur) werkdagen]],0)</f>
        <v>0</v>
      </c>
      <c r="X437" s="243">
        <f>Ruimtestaat[[#This Row],[uren / jaar werkdagen]]*Tariefsopbouw!$D$38</f>
        <v>0</v>
      </c>
      <c r="Y437" s="33"/>
      <c r="Z437" s="33">
        <f>IF(Ruimtestaat[[#This Row],[Frequentie weekend]]&gt;0,VALUE(LEFT(Y437,1))*R437,0)</f>
        <v>0</v>
      </c>
      <c r="AA437" s="33">
        <f>IF($Z437&gt;0,VLOOKUP($J437,Ruimtegroepen[],3,FALSE)*VLOOKUP($L437,Vloersoorten[],3,FALSE)*VLOOKUP($Y437,Frequenties[],3,FALSE)*VLOOKUP(#REF!,Locaties[],3,FALSE),0)</f>
        <v>0</v>
      </c>
      <c r="AB437" s="33"/>
      <c r="AC437" s="33"/>
      <c r="AD437" s="33">
        <f>Ruimtestaat[[#This Row],[uren / jaar weekend]]*Tariefsopbouw!$D$40</f>
        <v>0</v>
      </c>
      <c r="AE437" s="86">
        <f>Ruimtestaat[[#This Row],[Prest. (m2 /jaar) weekend]]+Ruimtestaat[[#This Row],[Prest. (m2 /jaar) werkdagen]]</f>
        <v>5670</v>
      </c>
      <c r="AF437" s="86">
        <f>Ruimtestaat[[#This Row],[uren / jaar weekend]]+Ruimtestaat[[#This Row],[uren / jaar werkdagen]]</f>
        <v>0</v>
      </c>
      <c r="AG437" s="87">
        <f>Ruimtestaat[[#This Row],[kosten / jaar weekend]]+Ruimtestaat[[#This Row],[kosten / jaar werkdagen]]</f>
        <v>0</v>
      </c>
    </row>
    <row r="438" spans="1:33" ht="15" customHeight="1">
      <c r="A438" s="187">
        <v>4</v>
      </c>
      <c r="B438" s="21" t="str">
        <f>VLOOKUP(Ruimtestaat[[#This Row],[Code]],Locaties[#All],2,FALSE)</f>
        <v xml:space="preserve">Lyceumstraat </v>
      </c>
      <c r="C438" s="247" t="str">
        <f>VLOOKUP(Ruimtestaat[[#This Row],[Code]],Locaties[#All],4,FALSE)</f>
        <v>Lyceumstraat 36</v>
      </c>
      <c r="D438" s="247" t="str">
        <f>VLOOKUP(Ruimtestaat[[#This Row],[Code]],Locaties[#All],5,FALSE)</f>
        <v>7572 CR</v>
      </c>
      <c r="E438" s="187" t="str">
        <f>VLOOKUP(Ruimtestaat[[#This Row],[Code]],Locaties[#All],6,FALSE)</f>
        <v>Oldenzaal</v>
      </c>
      <c r="F438" s="248"/>
      <c r="G438" s="246">
        <v>1</v>
      </c>
      <c r="H438" s="246" t="s">
        <v>1109</v>
      </c>
      <c r="I438" s="248" t="s">
        <v>465</v>
      </c>
      <c r="J438" s="187">
        <v>16</v>
      </c>
      <c r="K438" s="187" t="str">
        <f>VLOOKUP(Ruimtestaat[[#This Row],[Ruimte code]],Ruimtegroepen[#All],2,FALSE)</f>
        <v>Leslokalen/computerlokaal</v>
      </c>
      <c r="L438" s="247" t="s">
        <v>1204</v>
      </c>
      <c r="M438" s="249" t="s">
        <v>1205</v>
      </c>
      <c r="N438" s="200">
        <v>54</v>
      </c>
      <c r="O438" s="190"/>
      <c r="P438" s="231" t="str">
        <f>VLOOKUP(Ruimtestaat[[#This Row],[Ruimte code]],Ruimtegroepen[#All],4,FALSE)</f>
        <v>L  (Lesruimte)</v>
      </c>
      <c r="Q438" s="201"/>
      <c r="R438" s="202">
        <v>42</v>
      </c>
      <c r="S438" s="202" t="s">
        <v>2</v>
      </c>
      <c r="T438" s="202">
        <f>IF(R438&gt;0,IF(RIGHT(Ruimtestaat[[#This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38" s="202">
        <f>IF(T438&gt;0,VLOOKUP($J438,Ruimtegroepen[],3,FALSE)*VLOOKUP($L438,Vloersoorten[],3,FALSE)*VLOOKUP($S438,Frequenties[],3,FALSE)*VLOOKUP($A438,Locaties[],3,FALSE),0)</f>
        <v>0</v>
      </c>
      <c r="V438" s="202">
        <f>Ruimtestaat[[#This Row],[Uitvoeringen werkdagen]]*Ruimtestaat[[#This Row],[Oppervlak (netto)]]</f>
        <v>11340</v>
      </c>
      <c r="W438" s="242">
        <f>IF(U438&gt;0,Ruimtestaat[[#This Row],[Prest. (m2 /jaar) werkdagen]]/Ruimtestaat[[#This Row],[Norm (m2/uur) werkdagen]],0)</f>
        <v>0</v>
      </c>
      <c r="X438" s="243">
        <f>Ruimtestaat[[#This Row],[uren / jaar werkdagen]]*Tariefsopbouw!$D$38</f>
        <v>0</v>
      </c>
      <c r="Y438" s="33"/>
      <c r="Z438" s="33">
        <f>IF(Ruimtestaat[[#This Row],[Frequentie weekend]]&gt;0,VALUE(LEFT(Y438,1))*R438,0)</f>
        <v>0</v>
      </c>
      <c r="AA438" s="33">
        <f>IF($Z438&gt;0,VLOOKUP($J438,Ruimtegroepen[],3,FALSE)*VLOOKUP($L438,Vloersoorten[],3,FALSE)*VLOOKUP($Y438,Frequenties[],3,FALSE)*VLOOKUP(#REF!,Locaties[],3,FALSE),0)</f>
        <v>0</v>
      </c>
      <c r="AB438" s="33"/>
      <c r="AC438" s="33"/>
      <c r="AD438" s="33">
        <f>Ruimtestaat[[#This Row],[uren / jaar weekend]]*Tariefsopbouw!$D$40</f>
        <v>0</v>
      </c>
      <c r="AE438" s="86">
        <f>Ruimtestaat[[#This Row],[Prest. (m2 /jaar) weekend]]+Ruimtestaat[[#This Row],[Prest. (m2 /jaar) werkdagen]]</f>
        <v>11340</v>
      </c>
      <c r="AF438" s="86">
        <f>Ruimtestaat[[#This Row],[uren / jaar weekend]]+Ruimtestaat[[#This Row],[uren / jaar werkdagen]]</f>
        <v>0</v>
      </c>
      <c r="AG438" s="87">
        <f>Ruimtestaat[[#This Row],[kosten / jaar weekend]]+Ruimtestaat[[#This Row],[kosten / jaar werkdagen]]</f>
        <v>0</v>
      </c>
    </row>
    <row r="439" spans="1:33" ht="15" customHeight="1">
      <c r="A439" s="187">
        <v>4</v>
      </c>
      <c r="B439" s="21" t="str">
        <f>VLOOKUP(Ruimtestaat[[#This Row],[Code]],Locaties[#All],2,FALSE)</f>
        <v xml:space="preserve">Lyceumstraat </v>
      </c>
      <c r="C439" s="247" t="str">
        <f>VLOOKUP(Ruimtestaat[[#This Row],[Code]],Locaties[#All],4,FALSE)</f>
        <v>Lyceumstraat 36</v>
      </c>
      <c r="D439" s="247" t="str">
        <f>VLOOKUP(Ruimtestaat[[#This Row],[Code]],Locaties[#All],5,FALSE)</f>
        <v>7572 CR</v>
      </c>
      <c r="E439" s="187" t="str">
        <f>VLOOKUP(Ruimtestaat[[#This Row],[Code]],Locaties[#All],6,FALSE)</f>
        <v>Oldenzaal</v>
      </c>
      <c r="F439" s="248"/>
      <c r="G439" s="246">
        <v>1</v>
      </c>
      <c r="H439" s="246" t="s">
        <v>1110</v>
      </c>
      <c r="I439" s="248" t="s">
        <v>465</v>
      </c>
      <c r="J439" s="187">
        <v>16</v>
      </c>
      <c r="K439" s="187" t="str">
        <f>VLOOKUP(Ruimtestaat[[#This Row],[Ruimte code]],Ruimtegroepen[#All],2,FALSE)</f>
        <v>Leslokalen/computerlokaal</v>
      </c>
      <c r="L439" s="247" t="s">
        <v>1204</v>
      </c>
      <c r="M439" s="249" t="s">
        <v>1205</v>
      </c>
      <c r="N439" s="200">
        <v>54</v>
      </c>
      <c r="O439" s="190"/>
      <c r="P439" s="231" t="str">
        <f>VLOOKUP(Ruimtestaat[[#This Row],[Ruimte code]],Ruimtegroepen[#All],4,FALSE)</f>
        <v>L  (Lesruimte)</v>
      </c>
      <c r="Q439" s="201"/>
      <c r="R439" s="202">
        <v>42</v>
      </c>
      <c r="S439" s="202" t="s">
        <v>2</v>
      </c>
      <c r="T439" s="202">
        <f>IF(R439&gt;0,IF(RIGHT(Ruimtestaat[[#This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39" s="202">
        <f>IF(T439&gt;0,VLOOKUP($J439,Ruimtegroepen[],3,FALSE)*VLOOKUP($L439,Vloersoorten[],3,FALSE)*VLOOKUP($S439,Frequenties[],3,FALSE)*VLOOKUP($A439,Locaties[],3,FALSE),0)</f>
        <v>0</v>
      </c>
      <c r="V439" s="202">
        <f>Ruimtestaat[[#This Row],[Uitvoeringen werkdagen]]*Ruimtestaat[[#This Row],[Oppervlak (netto)]]</f>
        <v>11340</v>
      </c>
      <c r="W439" s="242">
        <f>IF(U439&gt;0,Ruimtestaat[[#This Row],[Prest. (m2 /jaar) werkdagen]]/Ruimtestaat[[#This Row],[Norm (m2/uur) werkdagen]],0)</f>
        <v>0</v>
      </c>
      <c r="X439" s="243">
        <f>Ruimtestaat[[#This Row],[uren / jaar werkdagen]]*Tariefsopbouw!$D$38</f>
        <v>0</v>
      </c>
      <c r="Y439" s="33"/>
      <c r="Z439" s="33">
        <f>IF(Ruimtestaat[[#This Row],[Frequentie weekend]]&gt;0,VALUE(LEFT(Y439,1))*R439,0)</f>
        <v>0</v>
      </c>
      <c r="AA439" s="33">
        <f>IF($Z439&gt;0,VLOOKUP($J439,Ruimtegroepen[],3,FALSE)*VLOOKUP($L439,Vloersoorten[],3,FALSE)*VLOOKUP($Y439,Frequenties[],3,FALSE)*VLOOKUP(#REF!,Locaties[],3,FALSE),0)</f>
        <v>0</v>
      </c>
      <c r="AB439" s="33"/>
      <c r="AC439" s="33"/>
      <c r="AD439" s="33">
        <f>Ruimtestaat[[#This Row],[uren / jaar weekend]]*Tariefsopbouw!$D$40</f>
        <v>0</v>
      </c>
      <c r="AE439" s="86">
        <f>Ruimtestaat[[#This Row],[Prest. (m2 /jaar) weekend]]+Ruimtestaat[[#This Row],[Prest. (m2 /jaar) werkdagen]]</f>
        <v>11340</v>
      </c>
      <c r="AF439" s="86">
        <f>Ruimtestaat[[#This Row],[uren / jaar weekend]]+Ruimtestaat[[#This Row],[uren / jaar werkdagen]]</f>
        <v>0</v>
      </c>
      <c r="AG439" s="87">
        <f>Ruimtestaat[[#This Row],[kosten / jaar weekend]]+Ruimtestaat[[#This Row],[kosten / jaar werkdagen]]</f>
        <v>0</v>
      </c>
    </row>
    <row r="440" spans="1:33" ht="15" customHeight="1">
      <c r="A440" s="187">
        <v>4</v>
      </c>
      <c r="B440" s="21" t="str">
        <f>VLOOKUP(Ruimtestaat[[#This Row],[Code]],Locaties[#All],2,FALSE)</f>
        <v xml:space="preserve">Lyceumstraat </v>
      </c>
      <c r="C440" s="247" t="str">
        <f>VLOOKUP(Ruimtestaat[[#This Row],[Code]],Locaties[#All],4,FALSE)</f>
        <v>Lyceumstraat 36</v>
      </c>
      <c r="D440" s="247" t="str">
        <f>VLOOKUP(Ruimtestaat[[#This Row],[Code]],Locaties[#All],5,FALSE)</f>
        <v>7572 CR</v>
      </c>
      <c r="E440" s="187" t="str">
        <f>VLOOKUP(Ruimtestaat[[#This Row],[Code]],Locaties[#All],6,FALSE)</f>
        <v>Oldenzaal</v>
      </c>
      <c r="F440" s="248"/>
      <c r="G440" s="246">
        <v>1</v>
      </c>
      <c r="H440" s="246" t="s">
        <v>1111</v>
      </c>
      <c r="I440" s="248" t="s">
        <v>465</v>
      </c>
      <c r="J440" s="187">
        <v>16</v>
      </c>
      <c r="K440" s="187" t="str">
        <f>VLOOKUP(Ruimtestaat[[#This Row],[Ruimte code]],Ruimtegroepen[#All],2,FALSE)</f>
        <v>Leslokalen/computerlokaal</v>
      </c>
      <c r="L440" s="247" t="s">
        <v>1204</v>
      </c>
      <c r="M440" s="249" t="s">
        <v>1205</v>
      </c>
      <c r="N440" s="200">
        <v>54</v>
      </c>
      <c r="O440" s="190"/>
      <c r="P440" s="231" t="str">
        <f>VLOOKUP(Ruimtestaat[[#This Row],[Ruimte code]],Ruimtegroepen[#All],4,FALSE)</f>
        <v>L  (Lesruimte)</v>
      </c>
      <c r="Q440" s="201"/>
      <c r="R440" s="202">
        <v>42</v>
      </c>
      <c r="S440" s="202" t="s">
        <v>2</v>
      </c>
      <c r="T440" s="202">
        <f>IF(R440&gt;0,IF(RIGHT(Ruimtestaat[[#This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40" s="202">
        <f>IF(T440&gt;0,VLOOKUP($J440,Ruimtegroepen[],3,FALSE)*VLOOKUP($L440,Vloersoorten[],3,FALSE)*VLOOKUP($S440,Frequenties[],3,FALSE)*VLOOKUP($A440,Locaties[],3,FALSE),0)</f>
        <v>0</v>
      </c>
      <c r="V440" s="202">
        <f>Ruimtestaat[[#This Row],[Uitvoeringen werkdagen]]*Ruimtestaat[[#This Row],[Oppervlak (netto)]]</f>
        <v>11340</v>
      </c>
      <c r="W440" s="242">
        <f>IF(U440&gt;0,Ruimtestaat[[#This Row],[Prest. (m2 /jaar) werkdagen]]/Ruimtestaat[[#This Row],[Norm (m2/uur) werkdagen]],0)</f>
        <v>0</v>
      </c>
      <c r="X440" s="243">
        <f>Ruimtestaat[[#This Row],[uren / jaar werkdagen]]*Tariefsopbouw!$D$38</f>
        <v>0</v>
      </c>
      <c r="Y440" s="33"/>
      <c r="Z440" s="33">
        <f>IF(Ruimtestaat[[#This Row],[Frequentie weekend]]&gt;0,VALUE(LEFT(Y440,1))*R440,0)</f>
        <v>0</v>
      </c>
      <c r="AA440" s="33">
        <f>IF($Z440&gt;0,VLOOKUP($J440,Ruimtegroepen[],3,FALSE)*VLOOKUP($L440,Vloersoorten[],3,FALSE)*VLOOKUP($Y440,Frequenties[],3,FALSE)*VLOOKUP(#REF!,Locaties[],3,FALSE),0)</f>
        <v>0</v>
      </c>
      <c r="AB440" s="33"/>
      <c r="AC440" s="33"/>
      <c r="AD440" s="33">
        <f>Ruimtestaat[[#This Row],[uren / jaar weekend]]*Tariefsopbouw!$D$40</f>
        <v>0</v>
      </c>
      <c r="AE440" s="86">
        <f>Ruimtestaat[[#This Row],[Prest. (m2 /jaar) weekend]]+Ruimtestaat[[#This Row],[Prest. (m2 /jaar) werkdagen]]</f>
        <v>11340</v>
      </c>
      <c r="AF440" s="86">
        <f>Ruimtestaat[[#This Row],[uren / jaar weekend]]+Ruimtestaat[[#This Row],[uren / jaar werkdagen]]</f>
        <v>0</v>
      </c>
      <c r="AG440" s="87">
        <f>Ruimtestaat[[#This Row],[kosten / jaar weekend]]+Ruimtestaat[[#This Row],[kosten / jaar werkdagen]]</f>
        <v>0</v>
      </c>
    </row>
    <row r="441" spans="1:33" ht="15" customHeight="1">
      <c r="A441" s="187">
        <v>4</v>
      </c>
      <c r="B441" s="21" t="str">
        <f>VLOOKUP(Ruimtestaat[[#This Row],[Code]],Locaties[#All],2,FALSE)</f>
        <v xml:space="preserve">Lyceumstraat </v>
      </c>
      <c r="C441" s="247" t="str">
        <f>VLOOKUP(Ruimtestaat[[#This Row],[Code]],Locaties[#All],4,FALSE)</f>
        <v>Lyceumstraat 36</v>
      </c>
      <c r="D441" s="247" t="str">
        <f>VLOOKUP(Ruimtestaat[[#This Row],[Code]],Locaties[#All],5,FALSE)</f>
        <v>7572 CR</v>
      </c>
      <c r="E441" s="187" t="str">
        <f>VLOOKUP(Ruimtestaat[[#This Row],[Code]],Locaties[#All],6,FALSE)</f>
        <v>Oldenzaal</v>
      </c>
      <c r="F441" s="248"/>
      <c r="G441" s="246">
        <v>1</v>
      </c>
      <c r="H441" s="246" t="s">
        <v>1112</v>
      </c>
      <c r="I441" s="248" t="s">
        <v>465</v>
      </c>
      <c r="J441" s="187">
        <v>16</v>
      </c>
      <c r="K441" s="187" t="str">
        <f>VLOOKUP(Ruimtestaat[[#This Row],[Ruimte code]],Ruimtegroepen[#All],2,FALSE)</f>
        <v>Leslokalen/computerlokaal</v>
      </c>
      <c r="L441" s="247" t="s">
        <v>1204</v>
      </c>
      <c r="M441" s="249" t="s">
        <v>1205</v>
      </c>
      <c r="N441" s="200">
        <v>54</v>
      </c>
      <c r="O441" s="190"/>
      <c r="P441" s="231" t="str">
        <f>VLOOKUP(Ruimtestaat[[#This Row],[Ruimte code]],Ruimtegroepen[#All],4,FALSE)</f>
        <v>L  (Lesruimte)</v>
      </c>
      <c r="Q441" s="201"/>
      <c r="R441" s="202">
        <v>42</v>
      </c>
      <c r="S441" s="202" t="s">
        <v>2</v>
      </c>
      <c r="T441" s="202">
        <f>IF(R441&gt;0,IF(RIGHT(Ruimtestaat[[#This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41" s="202">
        <f>IF(T441&gt;0,VLOOKUP($J441,Ruimtegroepen[],3,FALSE)*VLOOKUP($L441,Vloersoorten[],3,FALSE)*VLOOKUP($S441,Frequenties[],3,FALSE)*VLOOKUP($A441,Locaties[],3,FALSE),0)</f>
        <v>0</v>
      </c>
      <c r="V441" s="202">
        <f>Ruimtestaat[[#This Row],[Uitvoeringen werkdagen]]*Ruimtestaat[[#This Row],[Oppervlak (netto)]]</f>
        <v>11340</v>
      </c>
      <c r="W441" s="242">
        <f>IF(U441&gt;0,Ruimtestaat[[#This Row],[Prest. (m2 /jaar) werkdagen]]/Ruimtestaat[[#This Row],[Norm (m2/uur) werkdagen]],0)</f>
        <v>0</v>
      </c>
      <c r="X441" s="243">
        <f>Ruimtestaat[[#This Row],[uren / jaar werkdagen]]*Tariefsopbouw!$D$38</f>
        <v>0</v>
      </c>
      <c r="Y441" s="33"/>
      <c r="Z441" s="33">
        <f>IF(Ruimtestaat[[#This Row],[Frequentie weekend]]&gt;0,VALUE(LEFT(Y441,1))*R441,0)</f>
        <v>0</v>
      </c>
      <c r="AA441" s="33">
        <f>IF($Z441&gt;0,VLOOKUP($J441,Ruimtegroepen[],3,FALSE)*VLOOKUP($L441,Vloersoorten[],3,FALSE)*VLOOKUP($Y441,Frequenties[],3,FALSE)*VLOOKUP(#REF!,Locaties[],3,FALSE),0)</f>
        <v>0</v>
      </c>
      <c r="AB441" s="33"/>
      <c r="AC441" s="33"/>
      <c r="AD441" s="33">
        <f>Ruimtestaat[[#This Row],[uren / jaar weekend]]*Tariefsopbouw!$D$40</f>
        <v>0</v>
      </c>
      <c r="AE441" s="86">
        <f>Ruimtestaat[[#This Row],[Prest. (m2 /jaar) weekend]]+Ruimtestaat[[#This Row],[Prest. (m2 /jaar) werkdagen]]</f>
        <v>11340</v>
      </c>
      <c r="AF441" s="86">
        <f>Ruimtestaat[[#This Row],[uren / jaar weekend]]+Ruimtestaat[[#This Row],[uren / jaar werkdagen]]</f>
        <v>0</v>
      </c>
      <c r="AG441" s="87">
        <f>Ruimtestaat[[#This Row],[kosten / jaar weekend]]+Ruimtestaat[[#This Row],[kosten / jaar werkdagen]]</f>
        <v>0</v>
      </c>
    </row>
    <row r="442" spans="1:33" ht="15" customHeight="1">
      <c r="A442" s="187">
        <v>4</v>
      </c>
      <c r="B442" s="21" t="str">
        <f>VLOOKUP(Ruimtestaat[[#This Row],[Code]],Locaties[#All],2,FALSE)</f>
        <v xml:space="preserve">Lyceumstraat </v>
      </c>
      <c r="C442" s="247" t="str">
        <f>VLOOKUP(Ruimtestaat[[#This Row],[Code]],Locaties[#All],4,FALSE)</f>
        <v>Lyceumstraat 36</v>
      </c>
      <c r="D442" s="247" t="str">
        <f>VLOOKUP(Ruimtestaat[[#This Row],[Code]],Locaties[#All],5,FALSE)</f>
        <v>7572 CR</v>
      </c>
      <c r="E442" s="187" t="str">
        <f>VLOOKUP(Ruimtestaat[[#This Row],[Code]],Locaties[#All],6,FALSE)</f>
        <v>Oldenzaal</v>
      </c>
      <c r="F442" s="248"/>
      <c r="G442" s="246">
        <v>1</v>
      </c>
      <c r="H442" s="246" t="s">
        <v>1113</v>
      </c>
      <c r="I442" s="248" t="s">
        <v>465</v>
      </c>
      <c r="J442" s="187">
        <v>16</v>
      </c>
      <c r="K442" s="187" t="str">
        <f>VLOOKUP(Ruimtestaat[[#This Row],[Ruimte code]],Ruimtegroepen[#All],2,FALSE)</f>
        <v>Leslokalen/computerlokaal</v>
      </c>
      <c r="L442" s="247" t="s">
        <v>1204</v>
      </c>
      <c r="M442" s="249" t="s">
        <v>1205</v>
      </c>
      <c r="N442" s="200">
        <v>54</v>
      </c>
      <c r="O442" s="190"/>
      <c r="P442" s="231" t="str">
        <f>VLOOKUP(Ruimtestaat[[#This Row],[Ruimte code]],Ruimtegroepen[#All],4,FALSE)</f>
        <v>L  (Lesruimte)</v>
      </c>
      <c r="Q442" s="201"/>
      <c r="R442" s="202">
        <v>42</v>
      </c>
      <c r="S442" s="202" t="s">
        <v>2</v>
      </c>
      <c r="T442" s="202">
        <f>IF(R442&gt;0,IF(RIGHT(Ruimtestaat[[#This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42" s="202">
        <f>IF(T442&gt;0,VLOOKUP($J442,Ruimtegroepen[],3,FALSE)*VLOOKUP($L442,Vloersoorten[],3,FALSE)*VLOOKUP($S442,Frequenties[],3,FALSE)*VLOOKUP($A442,Locaties[],3,FALSE),0)</f>
        <v>0</v>
      </c>
      <c r="V442" s="202">
        <f>Ruimtestaat[[#This Row],[Uitvoeringen werkdagen]]*Ruimtestaat[[#This Row],[Oppervlak (netto)]]</f>
        <v>11340</v>
      </c>
      <c r="W442" s="242">
        <f>IF(U442&gt;0,Ruimtestaat[[#This Row],[Prest. (m2 /jaar) werkdagen]]/Ruimtestaat[[#This Row],[Norm (m2/uur) werkdagen]],0)</f>
        <v>0</v>
      </c>
      <c r="X442" s="243">
        <f>Ruimtestaat[[#This Row],[uren / jaar werkdagen]]*Tariefsopbouw!$D$38</f>
        <v>0</v>
      </c>
      <c r="Y442" s="33"/>
      <c r="Z442" s="33">
        <f>IF(Ruimtestaat[[#This Row],[Frequentie weekend]]&gt;0,VALUE(LEFT(Y442,1))*R442,0)</f>
        <v>0</v>
      </c>
      <c r="AA442" s="33">
        <f>IF($Z442&gt;0,VLOOKUP($J442,Ruimtegroepen[],3,FALSE)*VLOOKUP($L442,Vloersoorten[],3,FALSE)*VLOOKUP($Y442,Frequenties[],3,FALSE)*VLOOKUP(#REF!,Locaties[],3,FALSE),0)</f>
        <v>0</v>
      </c>
      <c r="AB442" s="33"/>
      <c r="AC442" s="33"/>
      <c r="AD442" s="33">
        <f>Ruimtestaat[[#This Row],[uren / jaar weekend]]*Tariefsopbouw!$D$40</f>
        <v>0</v>
      </c>
      <c r="AE442" s="86">
        <f>Ruimtestaat[[#This Row],[Prest. (m2 /jaar) weekend]]+Ruimtestaat[[#This Row],[Prest. (m2 /jaar) werkdagen]]</f>
        <v>11340</v>
      </c>
      <c r="AF442" s="86">
        <f>Ruimtestaat[[#This Row],[uren / jaar weekend]]+Ruimtestaat[[#This Row],[uren / jaar werkdagen]]</f>
        <v>0</v>
      </c>
      <c r="AG442" s="87">
        <f>Ruimtestaat[[#This Row],[kosten / jaar weekend]]+Ruimtestaat[[#This Row],[kosten / jaar werkdagen]]</f>
        <v>0</v>
      </c>
    </row>
    <row r="443" spans="1:33" ht="15" customHeight="1">
      <c r="A443" s="187">
        <v>4</v>
      </c>
      <c r="B443" s="21" t="str">
        <f>VLOOKUP(Ruimtestaat[[#This Row],[Code]],Locaties[#All],2,FALSE)</f>
        <v xml:space="preserve">Lyceumstraat </v>
      </c>
      <c r="C443" s="247" t="str">
        <f>VLOOKUP(Ruimtestaat[[#This Row],[Code]],Locaties[#All],4,FALSE)</f>
        <v>Lyceumstraat 36</v>
      </c>
      <c r="D443" s="247" t="str">
        <f>VLOOKUP(Ruimtestaat[[#This Row],[Code]],Locaties[#All],5,FALSE)</f>
        <v>7572 CR</v>
      </c>
      <c r="E443" s="187" t="str">
        <f>VLOOKUP(Ruimtestaat[[#This Row],[Code]],Locaties[#All],6,FALSE)</f>
        <v>Oldenzaal</v>
      </c>
      <c r="F443" s="248"/>
      <c r="G443" s="246">
        <v>1</v>
      </c>
      <c r="H443" s="246" t="s">
        <v>1114</v>
      </c>
      <c r="I443" s="248" t="s">
        <v>740</v>
      </c>
      <c r="J443" s="187">
        <v>13</v>
      </c>
      <c r="K443" s="187" t="str">
        <f>VLOOKUP(Ruimtestaat[[#This Row],[Ruimte code]],Ruimtegroepen[#All],2,FALSE)</f>
        <v>Personeelskamer</v>
      </c>
      <c r="L443" s="247" t="s">
        <v>1204</v>
      </c>
      <c r="M443" s="249" t="s">
        <v>1205</v>
      </c>
      <c r="N443" s="200">
        <v>134</v>
      </c>
      <c r="O443" s="190"/>
      <c r="P443" s="231" t="str">
        <f>VLOOKUP(Ruimtestaat[[#This Row],[Ruimte code]],Ruimtegroepen[#All],4,FALSE)</f>
        <v>V  (Verkeersruimte)</v>
      </c>
      <c r="Q443" s="201"/>
      <c r="R443" s="202">
        <v>42</v>
      </c>
      <c r="S443" s="202" t="s">
        <v>2</v>
      </c>
      <c r="T443" s="202">
        <f>IF(R443&gt;0,IF(RIGHT(Ruimtestaat[[#This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43" s="202">
        <f>IF(T443&gt;0,VLOOKUP($J443,Ruimtegroepen[],3,FALSE)*VLOOKUP($L443,Vloersoorten[],3,FALSE)*VLOOKUP($S443,Frequenties[],3,FALSE)*VLOOKUP($A443,Locaties[],3,FALSE),0)</f>
        <v>0</v>
      </c>
      <c r="V443" s="202">
        <f>Ruimtestaat[[#This Row],[Uitvoeringen werkdagen]]*Ruimtestaat[[#This Row],[Oppervlak (netto)]]</f>
        <v>28140</v>
      </c>
      <c r="W443" s="242">
        <f>IF(U443&gt;0,Ruimtestaat[[#This Row],[Prest. (m2 /jaar) werkdagen]]/Ruimtestaat[[#This Row],[Norm (m2/uur) werkdagen]],0)</f>
        <v>0</v>
      </c>
      <c r="X443" s="243">
        <f>Ruimtestaat[[#This Row],[uren / jaar werkdagen]]*Tariefsopbouw!$D$38</f>
        <v>0</v>
      </c>
      <c r="Y443" s="33"/>
      <c r="Z443" s="33">
        <f>IF(Ruimtestaat[[#This Row],[Frequentie weekend]]&gt;0,VALUE(LEFT(Y443,1))*R443,0)</f>
        <v>0</v>
      </c>
      <c r="AA443" s="33">
        <f>IF($Z443&gt;0,VLOOKUP($J443,Ruimtegroepen[],3,FALSE)*VLOOKUP($L443,Vloersoorten[],3,FALSE)*VLOOKUP($Y443,Frequenties[],3,FALSE)*VLOOKUP(#REF!,Locaties[],3,FALSE),0)</f>
        <v>0</v>
      </c>
      <c r="AB443" s="33"/>
      <c r="AC443" s="33"/>
      <c r="AD443" s="33">
        <f>Ruimtestaat[[#This Row],[uren / jaar weekend]]*Tariefsopbouw!$D$40</f>
        <v>0</v>
      </c>
      <c r="AE443" s="86">
        <f>Ruimtestaat[[#This Row],[Prest. (m2 /jaar) weekend]]+Ruimtestaat[[#This Row],[Prest. (m2 /jaar) werkdagen]]</f>
        <v>28140</v>
      </c>
      <c r="AF443" s="86">
        <f>Ruimtestaat[[#This Row],[uren / jaar weekend]]+Ruimtestaat[[#This Row],[uren / jaar werkdagen]]</f>
        <v>0</v>
      </c>
      <c r="AG443" s="87">
        <f>Ruimtestaat[[#This Row],[kosten / jaar weekend]]+Ruimtestaat[[#This Row],[kosten / jaar werkdagen]]</f>
        <v>0</v>
      </c>
    </row>
    <row r="444" spans="1:33" ht="15" customHeight="1">
      <c r="A444" s="187">
        <v>4</v>
      </c>
      <c r="B444" s="21" t="str">
        <f>VLOOKUP(Ruimtestaat[[#This Row],[Code]],Locaties[#All],2,FALSE)</f>
        <v xml:space="preserve">Lyceumstraat </v>
      </c>
      <c r="C444" s="247" t="str">
        <f>VLOOKUP(Ruimtestaat[[#This Row],[Code]],Locaties[#All],4,FALSE)</f>
        <v>Lyceumstraat 36</v>
      </c>
      <c r="D444" s="247" t="str">
        <f>VLOOKUP(Ruimtestaat[[#This Row],[Code]],Locaties[#All],5,FALSE)</f>
        <v>7572 CR</v>
      </c>
      <c r="E444" s="187" t="str">
        <f>VLOOKUP(Ruimtestaat[[#This Row],[Code]],Locaties[#All],6,FALSE)</f>
        <v>Oldenzaal</v>
      </c>
      <c r="F444" s="248"/>
      <c r="G444" s="246">
        <v>1</v>
      </c>
      <c r="H444" s="246" t="s">
        <v>1114</v>
      </c>
      <c r="I444" s="248" t="s">
        <v>740</v>
      </c>
      <c r="J444" s="187">
        <v>13</v>
      </c>
      <c r="K444" s="187" t="str">
        <f>VLOOKUP(Ruimtestaat[[#This Row],[Ruimte code]],Ruimtegroepen[#All],2,FALSE)</f>
        <v>Personeelskamer</v>
      </c>
      <c r="L444" s="187" t="s">
        <v>109</v>
      </c>
      <c r="M444" s="249" t="s">
        <v>1203</v>
      </c>
      <c r="N444" s="200">
        <v>30</v>
      </c>
      <c r="O444" s="190"/>
      <c r="P444" s="231" t="str">
        <f>VLOOKUP(Ruimtestaat[[#This Row],[Ruimte code]],Ruimtegroepen[#All],4,FALSE)</f>
        <v>V  (Verkeersruimte)</v>
      </c>
      <c r="Q444" s="201"/>
      <c r="R444" s="202">
        <v>42</v>
      </c>
      <c r="S444" s="202" t="s">
        <v>2</v>
      </c>
      <c r="T444" s="202">
        <f>IF(R444&gt;0,IF(RIGHT(Ruimtestaat[[#This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44" s="202">
        <f>IF(T444&gt;0,VLOOKUP($J444,Ruimtegroepen[],3,FALSE)*VLOOKUP($L444,Vloersoorten[],3,FALSE)*VLOOKUP($S444,Frequenties[],3,FALSE)*VLOOKUP($A444,Locaties[],3,FALSE),0)</f>
        <v>0</v>
      </c>
      <c r="V444" s="202">
        <f>Ruimtestaat[[#This Row],[Uitvoeringen werkdagen]]*Ruimtestaat[[#This Row],[Oppervlak (netto)]]</f>
        <v>6300</v>
      </c>
      <c r="W444" s="242">
        <f>IF(U444&gt;0,Ruimtestaat[[#This Row],[Prest. (m2 /jaar) werkdagen]]/Ruimtestaat[[#This Row],[Norm (m2/uur) werkdagen]],0)</f>
        <v>0</v>
      </c>
      <c r="X444" s="243">
        <f>Ruimtestaat[[#This Row],[uren / jaar werkdagen]]*Tariefsopbouw!$D$38</f>
        <v>0</v>
      </c>
      <c r="Y444" s="33"/>
      <c r="Z444" s="33">
        <f>IF(Ruimtestaat[[#This Row],[Frequentie weekend]]&gt;0,VALUE(LEFT(Y444,1))*R444,0)</f>
        <v>0</v>
      </c>
      <c r="AA444" s="33">
        <f>IF($Z444&gt;0,VLOOKUP($J444,Ruimtegroepen[],3,FALSE)*VLOOKUP($L444,Vloersoorten[],3,FALSE)*VLOOKUP($Y444,Frequenties[],3,FALSE)*VLOOKUP(#REF!,Locaties[],3,FALSE),0)</f>
        <v>0</v>
      </c>
      <c r="AB444" s="33"/>
      <c r="AC444" s="33"/>
      <c r="AD444" s="33">
        <f>Ruimtestaat[[#This Row],[uren / jaar weekend]]*Tariefsopbouw!$D$40</f>
        <v>0</v>
      </c>
      <c r="AE444" s="86">
        <f>Ruimtestaat[[#This Row],[Prest. (m2 /jaar) weekend]]+Ruimtestaat[[#This Row],[Prest. (m2 /jaar) werkdagen]]</f>
        <v>6300</v>
      </c>
      <c r="AF444" s="86">
        <f>Ruimtestaat[[#This Row],[uren / jaar weekend]]+Ruimtestaat[[#This Row],[uren / jaar werkdagen]]</f>
        <v>0</v>
      </c>
      <c r="AG444" s="87">
        <f>Ruimtestaat[[#This Row],[kosten / jaar weekend]]+Ruimtestaat[[#This Row],[kosten / jaar werkdagen]]</f>
        <v>0</v>
      </c>
    </row>
    <row r="445" spans="1:33" ht="15" customHeight="1">
      <c r="A445" s="187">
        <v>4</v>
      </c>
      <c r="B445" s="21" t="str">
        <f>VLOOKUP(Ruimtestaat[[#This Row],[Code]],Locaties[#All],2,FALSE)</f>
        <v xml:space="preserve">Lyceumstraat </v>
      </c>
      <c r="C445" s="247" t="str">
        <f>VLOOKUP(Ruimtestaat[[#This Row],[Code]],Locaties[#All],4,FALSE)</f>
        <v>Lyceumstraat 36</v>
      </c>
      <c r="D445" s="247" t="str">
        <f>VLOOKUP(Ruimtestaat[[#This Row],[Code]],Locaties[#All],5,FALSE)</f>
        <v>7572 CR</v>
      </c>
      <c r="E445" s="187" t="str">
        <f>VLOOKUP(Ruimtestaat[[#This Row],[Code]],Locaties[#All],6,FALSE)</f>
        <v>Oldenzaal</v>
      </c>
      <c r="F445" s="248"/>
      <c r="G445" s="246">
        <v>1</v>
      </c>
      <c r="H445" s="246" t="s">
        <v>1115</v>
      </c>
      <c r="I445" s="248" t="s">
        <v>250</v>
      </c>
      <c r="J445" s="187">
        <v>11</v>
      </c>
      <c r="K445" s="187" t="str">
        <f>VLOOKUP(Ruimtestaat[[#This Row],[Ruimte code]],Ruimtegroepen[#All],2,FALSE)</f>
        <v>Garderobes/kluisjesruimte</v>
      </c>
      <c r="L445" s="247" t="s">
        <v>677</v>
      </c>
      <c r="M445" s="249" t="s">
        <v>1200</v>
      </c>
      <c r="N445" s="200">
        <v>20</v>
      </c>
      <c r="O445" s="190"/>
      <c r="P445" s="231" t="str">
        <f>VLOOKUP(Ruimtestaat[[#This Row],[Ruimte code]],Ruimtegroepen[#All],4,FALSE)</f>
        <v>V  (Verkeersruimte)</v>
      </c>
      <c r="Q445" s="201"/>
      <c r="R445" s="202">
        <v>42</v>
      </c>
      <c r="S445" s="202" t="s">
        <v>2</v>
      </c>
      <c r="T445" s="202">
        <f>IF(R445&gt;0,IF(RIGHT(Ruimtestaat[[#This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45" s="202">
        <f>IF(T445&gt;0,VLOOKUP($J445,Ruimtegroepen[],3,FALSE)*VLOOKUP($L445,Vloersoorten[],3,FALSE)*VLOOKUP($S445,Frequenties[],3,FALSE)*VLOOKUP($A445,Locaties[],3,FALSE),0)</f>
        <v>0</v>
      </c>
      <c r="V445" s="202">
        <f>Ruimtestaat[[#This Row],[Uitvoeringen werkdagen]]*Ruimtestaat[[#This Row],[Oppervlak (netto)]]</f>
        <v>4200</v>
      </c>
      <c r="W445" s="242">
        <f>IF(U445&gt;0,Ruimtestaat[[#This Row],[Prest. (m2 /jaar) werkdagen]]/Ruimtestaat[[#This Row],[Norm (m2/uur) werkdagen]],0)</f>
        <v>0</v>
      </c>
      <c r="X445" s="243">
        <f>Ruimtestaat[[#This Row],[uren / jaar werkdagen]]*Tariefsopbouw!$D$38</f>
        <v>0</v>
      </c>
      <c r="Y445" s="33"/>
      <c r="Z445" s="33">
        <f>IF(Ruimtestaat[[#This Row],[Frequentie weekend]]&gt;0,VALUE(LEFT(Y445,1))*R445,0)</f>
        <v>0</v>
      </c>
      <c r="AA445" s="33">
        <f>IF($Z445&gt;0,VLOOKUP($J445,Ruimtegroepen[],3,FALSE)*VLOOKUP($L445,Vloersoorten[],3,FALSE)*VLOOKUP($Y445,Frequenties[],3,FALSE)*VLOOKUP(#REF!,Locaties[],3,FALSE),0)</f>
        <v>0</v>
      </c>
      <c r="AB445" s="33"/>
      <c r="AC445" s="33"/>
      <c r="AD445" s="33">
        <f>Ruimtestaat[[#This Row],[uren / jaar weekend]]*Tariefsopbouw!$D$40</f>
        <v>0</v>
      </c>
      <c r="AE445" s="86">
        <f>Ruimtestaat[[#This Row],[Prest. (m2 /jaar) weekend]]+Ruimtestaat[[#This Row],[Prest. (m2 /jaar) werkdagen]]</f>
        <v>4200</v>
      </c>
      <c r="AF445" s="86">
        <f>Ruimtestaat[[#This Row],[uren / jaar weekend]]+Ruimtestaat[[#This Row],[uren / jaar werkdagen]]</f>
        <v>0</v>
      </c>
      <c r="AG445" s="87">
        <f>Ruimtestaat[[#This Row],[kosten / jaar weekend]]+Ruimtestaat[[#This Row],[kosten / jaar werkdagen]]</f>
        <v>0</v>
      </c>
    </row>
    <row r="446" spans="1:33" ht="15" customHeight="1">
      <c r="A446" s="187">
        <v>4</v>
      </c>
      <c r="B446" s="21" t="str">
        <f>VLOOKUP(Ruimtestaat[[#This Row],[Code]],Locaties[#All],2,FALSE)</f>
        <v xml:space="preserve">Lyceumstraat </v>
      </c>
      <c r="C446" s="247" t="str">
        <f>VLOOKUP(Ruimtestaat[[#This Row],[Code]],Locaties[#All],4,FALSE)</f>
        <v>Lyceumstraat 36</v>
      </c>
      <c r="D446" s="247" t="str">
        <f>VLOOKUP(Ruimtestaat[[#This Row],[Code]],Locaties[#All],5,FALSE)</f>
        <v>7572 CR</v>
      </c>
      <c r="E446" s="187" t="str">
        <f>VLOOKUP(Ruimtestaat[[#This Row],[Code]],Locaties[#All],6,FALSE)</f>
        <v>Oldenzaal</v>
      </c>
      <c r="F446" s="248"/>
      <c r="G446" s="246">
        <v>1</v>
      </c>
      <c r="H446" s="246" t="s">
        <v>1116</v>
      </c>
      <c r="I446" s="248" t="s">
        <v>127</v>
      </c>
      <c r="J446" s="187">
        <v>15</v>
      </c>
      <c r="K446" s="187" t="str">
        <f>VLOOKUP(Ruimtestaat[[#This Row],[Ruimte code]],Ruimtegroepen[#All],2,FALSE)</f>
        <v>Keuken/pantry/rookruimte</v>
      </c>
      <c r="L446" s="247" t="s">
        <v>1204</v>
      </c>
      <c r="M446" s="249" t="s">
        <v>1205</v>
      </c>
      <c r="N446" s="200">
        <v>3.5</v>
      </c>
      <c r="O446" s="190"/>
      <c r="P446" s="231" t="str">
        <f>VLOOKUP(Ruimtestaat[[#This Row],[Ruimte code]],Ruimtegroepen[#All],4,FALSE)</f>
        <v>V  (Verkeersruimte)</v>
      </c>
      <c r="Q446" s="201"/>
      <c r="R446" s="202">
        <v>42</v>
      </c>
      <c r="S446" s="202" t="s">
        <v>2</v>
      </c>
      <c r="T446" s="202">
        <f>IF(R446&gt;0,IF(RIGHT(Ruimtestaat[[#This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46" s="202">
        <f>IF(T446&gt;0,VLOOKUP($J446,Ruimtegroepen[],3,FALSE)*VLOOKUP($L446,Vloersoorten[],3,FALSE)*VLOOKUP($S446,Frequenties[],3,FALSE)*VLOOKUP($A446,Locaties[],3,FALSE),0)</f>
        <v>0</v>
      </c>
      <c r="V446" s="202">
        <f>Ruimtestaat[[#This Row],[Uitvoeringen werkdagen]]*Ruimtestaat[[#This Row],[Oppervlak (netto)]]</f>
        <v>735</v>
      </c>
      <c r="W446" s="242">
        <f>IF(U446&gt;0,Ruimtestaat[[#This Row],[Prest. (m2 /jaar) werkdagen]]/Ruimtestaat[[#This Row],[Norm (m2/uur) werkdagen]],0)</f>
        <v>0</v>
      </c>
      <c r="X446" s="243">
        <f>Ruimtestaat[[#This Row],[uren / jaar werkdagen]]*Tariefsopbouw!$D$38</f>
        <v>0</v>
      </c>
      <c r="Y446" s="33"/>
      <c r="Z446" s="33">
        <f>IF(Ruimtestaat[[#This Row],[Frequentie weekend]]&gt;0,VALUE(LEFT(Y446,1))*R446,0)</f>
        <v>0</v>
      </c>
      <c r="AA446" s="33">
        <f>IF($Z446&gt;0,VLOOKUP($J446,Ruimtegroepen[],3,FALSE)*VLOOKUP($L446,Vloersoorten[],3,FALSE)*VLOOKUP($Y446,Frequenties[],3,FALSE)*VLOOKUP(#REF!,Locaties[],3,FALSE),0)</f>
        <v>0</v>
      </c>
      <c r="AB446" s="33"/>
      <c r="AC446" s="33"/>
      <c r="AD446" s="33">
        <f>Ruimtestaat[[#This Row],[uren / jaar weekend]]*Tariefsopbouw!$D$40</f>
        <v>0</v>
      </c>
      <c r="AE446" s="86">
        <f>Ruimtestaat[[#This Row],[Prest. (m2 /jaar) weekend]]+Ruimtestaat[[#This Row],[Prest. (m2 /jaar) werkdagen]]</f>
        <v>735</v>
      </c>
      <c r="AF446" s="86">
        <f>Ruimtestaat[[#This Row],[uren / jaar weekend]]+Ruimtestaat[[#This Row],[uren / jaar werkdagen]]</f>
        <v>0</v>
      </c>
      <c r="AG446" s="87">
        <f>Ruimtestaat[[#This Row],[kosten / jaar weekend]]+Ruimtestaat[[#This Row],[kosten / jaar werkdagen]]</f>
        <v>0</v>
      </c>
    </row>
    <row r="447" spans="1:33" ht="15" customHeight="1">
      <c r="A447" s="187">
        <v>4</v>
      </c>
      <c r="B447" s="21" t="str">
        <f>VLOOKUP(Ruimtestaat[[#This Row],[Code]],Locaties[#All],2,FALSE)</f>
        <v xml:space="preserve">Lyceumstraat </v>
      </c>
      <c r="C447" s="247" t="str">
        <f>VLOOKUP(Ruimtestaat[[#This Row],[Code]],Locaties[#All],4,FALSE)</f>
        <v>Lyceumstraat 36</v>
      </c>
      <c r="D447" s="247" t="str">
        <f>VLOOKUP(Ruimtestaat[[#This Row],[Code]],Locaties[#All],5,FALSE)</f>
        <v>7572 CR</v>
      </c>
      <c r="E447" s="187" t="str">
        <f>VLOOKUP(Ruimtestaat[[#This Row],[Code]],Locaties[#All],6,FALSE)</f>
        <v>Oldenzaal</v>
      </c>
      <c r="F447" s="248"/>
      <c r="G447" s="246">
        <v>1</v>
      </c>
      <c r="H447" s="246" t="s">
        <v>1117</v>
      </c>
      <c r="I447" s="248" t="s">
        <v>465</v>
      </c>
      <c r="J447" s="187">
        <v>16</v>
      </c>
      <c r="K447" s="187" t="str">
        <f>VLOOKUP(Ruimtestaat[[#This Row],[Ruimte code]],Ruimtegroepen[#All],2,FALSE)</f>
        <v>Leslokalen/computerlokaal</v>
      </c>
      <c r="L447" s="247" t="s">
        <v>1204</v>
      </c>
      <c r="M447" s="249" t="s">
        <v>1205</v>
      </c>
      <c r="N447" s="200">
        <v>54</v>
      </c>
      <c r="O447" s="190"/>
      <c r="P447" s="231" t="str">
        <f>VLOOKUP(Ruimtestaat[[#This Row],[Ruimte code]],Ruimtegroepen[#All],4,FALSE)</f>
        <v>L  (Lesruimte)</v>
      </c>
      <c r="Q447" s="201"/>
      <c r="R447" s="202">
        <v>42</v>
      </c>
      <c r="S447" s="202" t="s">
        <v>2</v>
      </c>
      <c r="T447" s="202">
        <f>IF(R447&gt;0,IF(RIGHT(Ruimtestaat[[#This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47" s="202">
        <f>IF(T447&gt;0,VLOOKUP($J447,Ruimtegroepen[],3,FALSE)*VLOOKUP($L447,Vloersoorten[],3,FALSE)*VLOOKUP($S447,Frequenties[],3,FALSE)*VLOOKUP($A447,Locaties[],3,FALSE),0)</f>
        <v>0</v>
      </c>
      <c r="V447" s="202">
        <f>Ruimtestaat[[#This Row],[Uitvoeringen werkdagen]]*Ruimtestaat[[#This Row],[Oppervlak (netto)]]</f>
        <v>11340</v>
      </c>
      <c r="W447" s="242">
        <f>IF(U447&gt;0,Ruimtestaat[[#This Row],[Prest. (m2 /jaar) werkdagen]]/Ruimtestaat[[#This Row],[Norm (m2/uur) werkdagen]],0)</f>
        <v>0</v>
      </c>
      <c r="X447" s="243">
        <f>Ruimtestaat[[#This Row],[uren / jaar werkdagen]]*Tariefsopbouw!$D$38</f>
        <v>0</v>
      </c>
      <c r="Y447" s="33"/>
      <c r="Z447" s="33">
        <f>IF(Ruimtestaat[[#This Row],[Frequentie weekend]]&gt;0,VALUE(LEFT(Y447,1))*R447,0)</f>
        <v>0</v>
      </c>
      <c r="AA447" s="33">
        <f>IF($Z447&gt;0,VLOOKUP($J447,Ruimtegroepen[],3,FALSE)*VLOOKUP($L447,Vloersoorten[],3,FALSE)*VLOOKUP($Y447,Frequenties[],3,FALSE)*VLOOKUP(#REF!,Locaties[],3,FALSE),0)</f>
        <v>0</v>
      </c>
      <c r="AB447" s="33"/>
      <c r="AC447" s="33"/>
      <c r="AD447" s="33">
        <f>Ruimtestaat[[#This Row],[uren / jaar weekend]]*Tariefsopbouw!$D$40</f>
        <v>0</v>
      </c>
      <c r="AE447" s="86">
        <f>Ruimtestaat[[#This Row],[Prest. (m2 /jaar) weekend]]+Ruimtestaat[[#This Row],[Prest. (m2 /jaar) werkdagen]]</f>
        <v>11340</v>
      </c>
      <c r="AF447" s="86">
        <f>Ruimtestaat[[#This Row],[uren / jaar weekend]]+Ruimtestaat[[#This Row],[uren / jaar werkdagen]]</f>
        <v>0</v>
      </c>
      <c r="AG447" s="87">
        <f>Ruimtestaat[[#This Row],[kosten / jaar weekend]]+Ruimtestaat[[#This Row],[kosten / jaar werkdagen]]</f>
        <v>0</v>
      </c>
    </row>
    <row r="448" spans="1:33" ht="15" customHeight="1">
      <c r="A448" s="187">
        <v>4</v>
      </c>
      <c r="B448" s="21" t="str">
        <f>VLOOKUP(Ruimtestaat[[#This Row],[Code]],Locaties[#All],2,FALSE)</f>
        <v xml:space="preserve">Lyceumstraat </v>
      </c>
      <c r="C448" s="247" t="str">
        <f>VLOOKUP(Ruimtestaat[[#This Row],[Code]],Locaties[#All],4,FALSE)</f>
        <v>Lyceumstraat 36</v>
      </c>
      <c r="D448" s="247" t="str">
        <f>VLOOKUP(Ruimtestaat[[#This Row],[Code]],Locaties[#All],5,FALSE)</f>
        <v>7572 CR</v>
      </c>
      <c r="E448" s="187" t="str">
        <f>VLOOKUP(Ruimtestaat[[#This Row],[Code]],Locaties[#All],6,FALSE)</f>
        <v>Oldenzaal</v>
      </c>
      <c r="F448" s="248"/>
      <c r="G448" s="246">
        <v>1</v>
      </c>
      <c r="H448" s="246" t="s">
        <v>1118</v>
      </c>
      <c r="I448" s="248" t="s">
        <v>465</v>
      </c>
      <c r="J448" s="247">
        <v>16</v>
      </c>
      <c r="K448" s="247" t="str">
        <f>VLOOKUP(Ruimtestaat[[#This Row],[Ruimte code]],Ruimtegroepen[#All],2,FALSE)</f>
        <v>Leslokalen/computerlokaal</v>
      </c>
      <c r="L448" s="247" t="s">
        <v>1204</v>
      </c>
      <c r="M448" s="249" t="s">
        <v>1205</v>
      </c>
      <c r="N448" s="200">
        <v>54</v>
      </c>
      <c r="O448" s="190"/>
      <c r="P448" s="231" t="str">
        <f>VLOOKUP(Ruimtestaat[[#This Row],[Ruimte code]],Ruimtegroepen[#All],4,FALSE)</f>
        <v>L  (Lesruimte)</v>
      </c>
      <c r="Q448" s="201"/>
      <c r="R448" s="202">
        <v>42</v>
      </c>
      <c r="S448" s="202" t="s">
        <v>2</v>
      </c>
      <c r="T448" s="202">
        <f>IF(R448&gt;0,IF(RIGHT(Ruimtestaat[[#This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48" s="202">
        <f>IF(T448&gt;0,VLOOKUP($J448,Ruimtegroepen[],3,FALSE)*VLOOKUP($L448,Vloersoorten[],3,FALSE)*VLOOKUP($S448,Frequenties[],3,FALSE)*VLOOKUP($A448,Locaties[],3,FALSE),0)</f>
        <v>0</v>
      </c>
      <c r="V448" s="202">
        <f>Ruimtestaat[[#This Row],[Uitvoeringen werkdagen]]*Ruimtestaat[[#This Row],[Oppervlak (netto)]]</f>
        <v>11340</v>
      </c>
      <c r="W448" s="242">
        <f>IF(U448&gt;0,Ruimtestaat[[#This Row],[Prest. (m2 /jaar) werkdagen]]/Ruimtestaat[[#This Row],[Norm (m2/uur) werkdagen]],0)</f>
        <v>0</v>
      </c>
      <c r="X448" s="243">
        <f>Ruimtestaat[[#This Row],[uren / jaar werkdagen]]*Tariefsopbouw!$D$38</f>
        <v>0</v>
      </c>
      <c r="Y448" s="33"/>
      <c r="Z448" s="33">
        <f>IF(Ruimtestaat[[#This Row],[Frequentie weekend]]&gt;0,VALUE(LEFT(Y448,1))*R448,0)</f>
        <v>0</v>
      </c>
      <c r="AA448" s="33">
        <f>IF($Z448&gt;0,VLOOKUP($J448,Ruimtegroepen[],3,FALSE)*VLOOKUP($L448,Vloersoorten[],3,FALSE)*VLOOKUP($Y448,Frequenties[],3,FALSE)*VLOOKUP(#REF!,Locaties[],3,FALSE),0)</f>
        <v>0</v>
      </c>
      <c r="AB448" s="33"/>
      <c r="AC448" s="33"/>
      <c r="AD448" s="33">
        <f>Ruimtestaat[[#This Row],[uren / jaar weekend]]*Tariefsopbouw!$D$40</f>
        <v>0</v>
      </c>
      <c r="AE448" s="86">
        <f>Ruimtestaat[[#This Row],[Prest. (m2 /jaar) weekend]]+Ruimtestaat[[#This Row],[Prest. (m2 /jaar) werkdagen]]</f>
        <v>11340</v>
      </c>
      <c r="AF448" s="86">
        <f>Ruimtestaat[[#This Row],[uren / jaar weekend]]+Ruimtestaat[[#This Row],[uren / jaar werkdagen]]</f>
        <v>0</v>
      </c>
      <c r="AG448" s="87">
        <f>Ruimtestaat[[#This Row],[kosten / jaar weekend]]+Ruimtestaat[[#This Row],[kosten / jaar werkdagen]]</f>
        <v>0</v>
      </c>
    </row>
    <row r="449" spans="1:33" ht="15" customHeight="1">
      <c r="A449" s="187">
        <v>4</v>
      </c>
      <c r="B449" s="21" t="str">
        <f>VLOOKUP(Ruimtestaat[[#This Row],[Code]],Locaties[#All],2,FALSE)</f>
        <v xml:space="preserve">Lyceumstraat </v>
      </c>
      <c r="C449" s="247" t="str">
        <f>VLOOKUP(Ruimtestaat[[#This Row],[Code]],Locaties[#All],4,FALSE)</f>
        <v>Lyceumstraat 36</v>
      </c>
      <c r="D449" s="247" t="str">
        <f>VLOOKUP(Ruimtestaat[[#This Row],[Code]],Locaties[#All],5,FALSE)</f>
        <v>7572 CR</v>
      </c>
      <c r="E449" s="187" t="str">
        <f>VLOOKUP(Ruimtestaat[[#This Row],[Code]],Locaties[#All],6,FALSE)</f>
        <v>Oldenzaal</v>
      </c>
      <c r="F449" s="248"/>
      <c r="G449" s="246">
        <v>1</v>
      </c>
      <c r="H449" s="246" t="s">
        <v>1119</v>
      </c>
      <c r="I449" s="248" t="s">
        <v>590</v>
      </c>
      <c r="J449" s="247">
        <v>2</v>
      </c>
      <c r="K449" s="247" t="str">
        <f>VLOOKUP(Ruimtestaat[[#This Row],[Ruimte code]],Ruimtegroepen[#All],2,FALSE)</f>
        <v>Kantoren/kantoortuin</v>
      </c>
      <c r="L449" s="247" t="s">
        <v>1204</v>
      </c>
      <c r="M449" s="249" t="s">
        <v>1205</v>
      </c>
      <c r="N449" s="200">
        <v>17</v>
      </c>
      <c r="O449" s="190"/>
      <c r="P449" s="231" t="str">
        <f>VLOOKUP(Ruimtestaat[[#This Row],[Ruimte code]],Ruimtegroepen[#All],4,FALSE)</f>
        <v>B  (Bureauruimte)</v>
      </c>
      <c r="Q449" s="201"/>
      <c r="R449" s="202">
        <v>42</v>
      </c>
      <c r="S449" s="202" t="s">
        <v>2</v>
      </c>
      <c r="T449" s="202">
        <f>IF(R449&gt;0,IF(RIGHT(Ruimtestaat[[#This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49" s="202">
        <f>IF(T449&gt;0,VLOOKUP($J449,Ruimtegroepen[],3,FALSE)*VLOOKUP($L449,Vloersoorten[],3,FALSE)*VLOOKUP($S449,Frequenties[],3,FALSE)*VLOOKUP($A449,Locaties[],3,FALSE),0)</f>
        <v>0</v>
      </c>
      <c r="V449" s="202">
        <f>Ruimtestaat[[#This Row],[Uitvoeringen werkdagen]]*Ruimtestaat[[#This Row],[Oppervlak (netto)]]</f>
        <v>3570</v>
      </c>
      <c r="W449" s="242">
        <f>IF(U449&gt;0,Ruimtestaat[[#This Row],[Prest. (m2 /jaar) werkdagen]]/Ruimtestaat[[#This Row],[Norm (m2/uur) werkdagen]],0)</f>
        <v>0</v>
      </c>
      <c r="X449" s="243">
        <f>Ruimtestaat[[#This Row],[uren / jaar werkdagen]]*Tariefsopbouw!$D$38</f>
        <v>0</v>
      </c>
      <c r="Y449" s="33"/>
      <c r="Z449" s="33">
        <f>IF(Ruimtestaat[[#This Row],[Frequentie weekend]]&gt;0,VALUE(LEFT(Y449,1))*R449,0)</f>
        <v>0</v>
      </c>
      <c r="AA449" s="33">
        <f>IF($Z449&gt;0,VLOOKUP($J449,Ruimtegroepen[],3,FALSE)*VLOOKUP($L449,Vloersoorten[],3,FALSE)*VLOOKUP($Y449,Frequenties[],3,FALSE)*VLOOKUP(#REF!,Locaties[],3,FALSE),0)</f>
        <v>0</v>
      </c>
      <c r="AB449" s="33"/>
      <c r="AC449" s="33"/>
      <c r="AD449" s="33">
        <f>Ruimtestaat[[#This Row],[uren / jaar weekend]]*Tariefsopbouw!$D$40</f>
        <v>0</v>
      </c>
      <c r="AE449" s="86">
        <f>Ruimtestaat[[#This Row],[Prest. (m2 /jaar) weekend]]+Ruimtestaat[[#This Row],[Prest. (m2 /jaar) werkdagen]]</f>
        <v>3570</v>
      </c>
      <c r="AF449" s="86">
        <f>Ruimtestaat[[#This Row],[uren / jaar weekend]]+Ruimtestaat[[#This Row],[uren / jaar werkdagen]]</f>
        <v>0</v>
      </c>
      <c r="AG449" s="87">
        <f>Ruimtestaat[[#This Row],[kosten / jaar weekend]]+Ruimtestaat[[#This Row],[kosten / jaar werkdagen]]</f>
        <v>0</v>
      </c>
    </row>
    <row r="450" spans="1:33" ht="15" customHeight="1">
      <c r="A450" s="187">
        <v>4</v>
      </c>
      <c r="B450" s="21" t="str">
        <f>VLOOKUP(Ruimtestaat[[#This Row],[Code]],Locaties[#All],2,FALSE)</f>
        <v xml:space="preserve">Lyceumstraat </v>
      </c>
      <c r="C450" s="247" t="str">
        <f>VLOOKUP(Ruimtestaat[[#This Row],[Code]],Locaties[#All],4,FALSE)</f>
        <v>Lyceumstraat 36</v>
      </c>
      <c r="D450" s="247" t="str">
        <f>VLOOKUP(Ruimtestaat[[#This Row],[Code]],Locaties[#All],5,FALSE)</f>
        <v>7572 CR</v>
      </c>
      <c r="E450" s="187" t="str">
        <f>VLOOKUP(Ruimtestaat[[#This Row],[Code]],Locaties[#All],6,FALSE)</f>
        <v>Oldenzaal</v>
      </c>
      <c r="F450" s="248"/>
      <c r="G450" s="246">
        <v>1</v>
      </c>
      <c r="H450" s="246" t="s">
        <v>1120</v>
      </c>
      <c r="I450" s="248" t="s">
        <v>591</v>
      </c>
      <c r="J450" s="247">
        <v>5</v>
      </c>
      <c r="K450" s="247" t="str">
        <f>VLOOKUP(Ruimtestaat[[#This Row],[Ruimte code]],Ruimtegroepen[#All],2,FALSE)</f>
        <v>Sanitair</v>
      </c>
      <c r="L450" s="247" t="s">
        <v>677</v>
      </c>
      <c r="M450" s="249" t="s">
        <v>1200</v>
      </c>
      <c r="N450" s="200">
        <v>17</v>
      </c>
      <c r="O450" s="190"/>
      <c r="P450" s="231" t="str">
        <f>VLOOKUP(Ruimtestaat[[#This Row],[Ruimte code]],Ruimtegroepen[#All],4,FALSE)</f>
        <v>S  (Sanitair)</v>
      </c>
      <c r="Q450" s="201"/>
      <c r="R450" s="202">
        <v>42</v>
      </c>
      <c r="S450" s="202" t="s">
        <v>19</v>
      </c>
      <c r="T450" s="202">
        <f>IF(R450&gt;0,IF(RIGHT(Ruimtestaat[[#This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450" s="202">
        <f>IF(T450&gt;0,VLOOKUP($J450,Ruimtegroepen[],3,FALSE)*VLOOKUP($L450,Vloersoorten[],3,FALSE)*VLOOKUP($S450,Frequenties[],3,FALSE)*VLOOKUP($A450,Locaties[],3,FALSE),0)</f>
        <v>0</v>
      </c>
      <c r="V450" s="202">
        <f>Ruimtestaat[[#This Row],[Uitvoeringen werkdagen]]*Ruimtestaat[[#This Row],[Oppervlak (netto)]]</f>
        <v>7140</v>
      </c>
      <c r="W450" s="242">
        <f>IF(U450&gt;0,Ruimtestaat[[#This Row],[Prest. (m2 /jaar) werkdagen]]/Ruimtestaat[[#This Row],[Norm (m2/uur) werkdagen]],0)</f>
        <v>0</v>
      </c>
      <c r="X450" s="243">
        <f>Ruimtestaat[[#This Row],[uren / jaar werkdagen]]*Tariefsopbouw!$D$38</f>
        <v>0</v>
      </c>
      <c r="Y450" s="33"/>
      <c r="Z450" s="33">
        <f>IF(Ruimtestaat[[#This Row],[Frequentie weekend]]&gt;0,VALUE(LEFT(Y450,1))*R450,0)</f>
        <v>0</v>
      </c>
      <c r="AA450" s="33">
        <f>IF($Z450&gt;0,VLOOKUP($J450,Ruimtegroepen[],3,FALSE)*VLOOKUP($L450,Vloersoorten[],3,FALSE)*VLOOKUP($Y450,Frequenties[],3,FALSE)*VLOOKUP(#REF!,Locaties[],3,FALSE),0)</f>
        <v>0</v>
      </c>
      <c r="AB450" s="33"/>
      <c r="AC450" s="33"/>
      <c r="AD450" s="33">
        <f>Ruimtestaat[[#This Row],[uren / jaar weekend]]*Tariefsopbouw!$D$40</f>
        <v>0</v>
      </c>
      <c r="AE450" s="86">
        <f>Ruimtestaat[[#This Row],[Prest. (m2 /jaar) weekend]]+Ruimtestaat[[#This Row],[Prest. (m2 /jaar) werkdagen]]</f>
        <v>7140</v>
      </c>
      <c r="AF450" s="86">
        <f>Ruimtestaat[[#This Row],[uren / jaar weekend]]+Ruimtestaat[[#This Row],[uren / jaar werkdagen]]</f>
        <v>0</v>
      </c>
      <c r="AG450" s="87">
        <f>Ruimtestaat[[#This Row],[kosten / jaar weekend]]+Ruimtestaat[[#This Row],[kosten / jaar werkdagen]]</f>
        <v>0</v>
      </c>
    </row>
    <row r="451" spans="1:33" ht="15" customHeight="1">
      <c r="A451" s="187">
        <v>4</v>
      </c>
      <c r="B451" s="21" t="str">
        <f>VLOOKUP(Ruimtestaat[[#This Row],[Code]],Locaties[#All],2,FALSE)</f>
        <v xml:space="preserve">Lyceumstraat </v>
      </c>
      <c r="C451" s="247" t="str">
        <f>VLOOKUP(Ruimtestaat[[#This Row],[Code]],Locaties[#All],4,FALSE)</f>
        <v>Lyceumstraat 36</v>
      </c>
      <c r="D451" s="247" t="str">
        <f>VLOOKUP(Ruimtestaat[[#This Row],[Code]],Locaties[#All],5,FALSE)</f>
        <v>7572 CR</v>
      </c>
      <c r="E451" s="187" t="str">
        <f>VLOOKUP(Ruimtestaat[[#This Row],[Code]],Locaties[#All],6,FALSE)</f>
        <v>Oldenzaal</v>
      </c>
      <c r="F451" s="248"/>
      <c r="G451" s="246">
        <v>1</v>
      </c>
      <c r="H451" s="246" t="s">
        <v>1121</v>
      </c>
      <c r="I451" s="248" t="s">
        <v>608</v>
      </c>
      <c r="J451" s="187">
        <v>5</v>
      </c>
      <c r="K451" s="187" t="str">
        <f>VLOOKUP(Ruimtestaat[[#This Row],[Ruimte code]],Ruimtegroepen[#All],2,FALSE)</f>
        <v>Sanitair</v>
      </c>
      <c r="L451" s="247" t="s">
        <v>677</v>
      </c>
      <c r="M451" s="249" t="s">
        <v>1200</v>
      </c>
      <c r="N451" s="200">
        <v>8</v>
      </c>
      <c r="O451" s="190"/>
      <c r="P451" s="231" t="str">
        <f>VLOOKUP(Ruimtestaat[[#This Row],[Ruimte code]],Ruimtegroepen[#All],4,FALSE)</f>
        <v>S  (Sanitair)</v>
      </c>
      <c r="Q451" s="201"/>
      <c r="R451" s="202">
        <v>42</v>
      </c>
      <c r="S451" s="202" t="s">
        <v>19</v>
      </c>
      <c r="T451" s="202">
        <f>IF(R451&gt;0,IF(RIGHT(Ruimtestaat[[#This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451" s="202">
        <f>IF(T451&gt;0,VLOOKUP($J451,Ruimtegroepen[],3,FALSE)*VLOOKUP($L451,Vloersoorten[],3,FALSE)*VLOOKUP($S451,Frequenties[],3,FALSE)*VLOOKUP($A451,Locaties[],3,FALSE),0)</f>
        <v>0</v>
      </c>
      <c r="V451" s="202">
        <f>Ruimtestaat[[#This Row],[Uitvoeringen werkdagen]]*Ruimtestaat[[#This Row],[Oppervlak (netto)]]</f>
        <v>3360</v>
      </c>
      <c r="W451" s="242">
        <f>IF(U451&gt;0,Ruimtestaat[[#This Row],[Prest. (m2 /jaar) werkdagen]]/Ruimtestaat[[#This Row],[Norm (m2/uur) werkdagen]],0)</f>
        <v>0</v>
      </c>
      <c r="X451" s="243">
        <f>Ruimtestaat[[#This Row],[uren / jaar werkdagen]]*Tariefsopbouw!$D$38</f>
        <v>0</v>
      </c>
      <c r="Y451" s="33"/>
      <c r="Z451" s="33">
        <f>IF(Ruimtestaat[[#This Row],[Frequentie weekend]]&gt;0,VALUE(LEFT(Y451,1))*R451,0)</f>
        <v>0</v>
      </c>
      <c r="AA451" s="33">
        <f>IF($Z451&gt;0,VLOOKUP($J451,Ruimtegroepen[],3,FALSE)*VLOOKUP($L451,Vloersoorten[],3,FALSE)*VLOOKUP($Y451,Frequenties[],3,FALSE)*VLOOKUP(#REF!,Locaties[],3,FALSE),0)</f>
        <v>0</v>
      </c>
      <c r="AB451" s="33"/>
      <c r="AC451" s="33"/>
      <c r="AD451" s="33">
        <f>Ruimtestaat[[#This Row],[uren / jaar weekend]]*Tariefsopbouw!$D$40</f>
        <v>0</v>
      </c>
      <c r="AE451" s="86">
        <f>Ruimtestaat[[#This Row],[Prest. (m2 /jaar) weekend]]+Ruimtestaat[[#This Row],[Prest. (m2 /jaar) werkdagen]]</f>
        <v>3360</v>
      </c>
      <c r="AF451" s="86">
        <f>Ruimtestaat[[#This Row],[uren / jaar weekend]]+Ruimtestaat[[#This Row],[uren / jaar werkdagen]]</f>
        <v>0</v>
      </c>
      <c r="AG451" s="87">
        <f>Ruimtestaat[[#This Row],[kosten / jaar weekend]]+Ruimtestaat[[#This Row],[kosten / jaar werkdagen]]</f>
        <v>0</v>
      </c>
    </row>
    <row r="452" spans="1:33" ht="15" customHeight="1">
      <c r="A452" s="187">
        <v>4</v>
      </c>
      <c r="B452" s="21" t="str">
        <f>VLOOKUP(Ruimtestaat[[#This Row],[Code]],Locaties[#All],2,FALSE)</f>
        <v xml:space="preserve">Lyceumstraat </v>
      </c>
      <c r="C452" s="247" t="str">
        <f>VLOOKUP(Ruimtestaat[[#This Row],[Code]],Locaties[#All],4,FALSE)</f>
        <v>Lyceumstraat 36</v>
      </c>
      <c r="D452" s="247" t="str">
        <f>VLOOKUP(Ruimtestaat[[#This Row],[Code]],Locaties[#All],5,FALSE)</f>
        <v>7572 CR</v>
      </c>
      <c r="E452" s="187" t="str">
        <f>VLOOKUP(Ruimtestaat[[#This Row],[Code]],Locaties[#All],6,FALSE)</f>
        <v>Oldenzaal</v>
      </c>
      <c r="F452" s="248"/>
      <c r="G452" s="246">
        <v>1</v>
      </c>
      <c r="H452" s="246" t="s">
        <v>1122</v>
      </c>
      <c r="I452" s="248" t="s">
        <v>633</v>
      </c>
      <c r="J452" s="187">
        <v>5</v>
      </c>
      <c r="K452" s="187" t="str">
        <f>VLOOKUP(Ruimtestaat[[#This Row],[Ruimte code]],Ruimtegroepen[#All],2,FALSE)</f>
        <v>Sanitair</v>
      </c>
      <c r="L452" s="202" t="s">
        <v>108</v>
      </c>
      <c r="M452" s="249" t="s">
        <v>1201</v>
      </c>
      <c r="N452" s="200">
        <v>5</v>
      </c>
      <c r="O452" s="190"/>
      <c r="P452" s="231" t="str">
        <f>VLOOKUP(Ruimtestaat[[#This Row],[Ruimte code]],Ruimtegroepen[#All],4,FALSE)</f>
        <v>S  (Sanitair)</v>
      </c>
      <c r="Q452" s="201"/>
      <c r="R452" s="202">
        <v>42</v>
      </c>
      <c r="S452" s="202" t="s">
        <v>19</v>
      </c>
      <c r="T452" s="202">
        <f>IF(R452&gt;0,IF(RIGHT(Ruimtestaat[[#This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452" s="202">
        <f>IF(T452&gt;0,VLOOKUP($J452,Ruimtegroepen[],3,FALSE)*VLOOKUP($L452,Vloersoorten[],3,FALSE)*VLOOKUP($S452,Frequenties[],3,FALSE)*VLOOKUP($A452,Locaties[],3,FALSE),0)</f>
        <v>0</v>
      </c>
      <c r="V452" s="202">
        <f>Ruimtestaat[[#This Row],[Uitvoeringen werkdagen]]*Ruimtestaat[[#This Row],[Oppervlak (netto)]]</f>
        <v>2100</v>
      </c>
      <c r="W452" s="242">
        <f>IF(U452&gt;0,Ruimtestaat[[#This Row],[Prest. (m2 /jaar) werkdagen]]/Ruimtestaat[[#This Row],[Norm (m2/uur) werkdagen]],0)</f>
        <v>0</v>
      </c>
      <c r="X452" s="243">
        <f>Ruimtestaat[[#This Row],[uren / jaar werkdagen]]*Tariefsopbouw!$D$38</f>
        <v>0</v>
      </c>
      <c r="Y452" s="33"/>
      <c r="Z452" s="33">
        <f>IF(Ruimtestaat[[#This Row],[Frequentie weekend]]&gt;0,VALUE(LEFT(Y452,1))*R452,0)</f>
        <v>0</v>
      </c>
      <c r="AA452" s="33">
        <f>IF($Z452&gt;0,VLOOKUP($J452,Ruimtegroepen[],3,FALSE)*VLOOKUP($L452,Vloersoorten[],3,FALSE)*VLOOKUP($Y452,Frequenties[],3,FALSE)*VLOOKUP(#REF!,Locaties[],3,FALSE),0)</f>
        <v>0</v>
      </c>
      <c r="AB452" s="33"/>
      <c r="AC452" s="33"/>
      <c r="AD452" s="33">
        <f>Ruimtestaat[[#This Row],[uren / jaar weekend]]*Tariefsopbouw!$D$40</f>
        <v>0</v>
      </c>
      <c r="AE452" s="86">
        <f>Ruimtestaat[[#This Row],[Prest. (m2 /jaar) weekend]]+Ruimtestaat[[#This Row],[Prest. (m2 /jaar) werkdagen]]</f>
        <v>2100</v>
      </c>
      <c r="AF452" s="86">
        <f>Ruimtestaat[[#This Row],[uren / jaar weekend]]+Ruimtestaat[[#This Row],[uren / jaar werkdagen]]</f>
        <v>0</v>
      </c>
      <c r="AG452" s="87">
        <f>Ruimtestaat[[#This Row],[kosten / jaar weekend]]+Ruimtestaat[[#This Row],[kosten / jaar werkdagen]]</f>
        <v>0</v>
      </c>
    </row>
    <row r="453" spans="1:33" ht="15" customHeight="1">
      <c r="A453" s="187">
        <v>4</v>
      </c>
      <c r="B453" s="21" t="str">
        <f>VLOOKUP(Ruimtestaat[[#This Row],[Code]],Locaties[#All],2,FALSE)</f>
        <v xml:space="preserve">Lyceumstraat </v>
      </c>
      <c r="C453" s="247" t="str">
        <f>VLOOKUP(Ruimtestaat[[#This Row],[Code]],Locaties[#All],4,FALSE)</f>
        <v>Lyceumstraat 36</v>
      </c>
      <c r="D453" s="247" t="str">
        <f>VLOOKUP(Ruimtestaat[[#This Row],[Code]],Locaties[#All],5,FALSE)</f>
        <v>7572 CR</v>
      </c>
      <c r="E453" s="187" t="str">
        <f>VLOOKUP(Ruimtestaat[[#This Row],[Code]],Locaties[#All],6,FALSE)</f>
        <v>Oldenzaal</v>
      </c>
      <c r="F453" s="248"/>
      <c r="G453" s="246">
        <v>1</v>
      </c>
      <c r="H453" s="246" t="s">
        <v>1123</v>
      </c>
      <c r="I453" s="248" t="s">
        <v>634</v>
      </c>
      <c r="J453" s="247">
        <v>5</v>
      </c>
      <c r="K453" s="247" t="str">
        <f>VLOOKUP(Ruimtestaat[[#This Row],[Ruimte code]],Ruimtegroepen[#All],2,FALSE)</f>
        <v>Sanitair</v>
      </c>
      <c r="L453" s="202" t="s">
        <v>108</v>
      </c>
      <c r="M453" s="249" t="s">
        <v>1201</v>
      </c>
      <c r="N453" s="200">
        <v>5</v>
      </c>
      <c r="O453" s="190"/>
      <c r="P453" s="231" t="str">
        <f>VLOOKUP(Ruimtestaat[[#This Row],[Ruimte code]],Ruimtegroepen[#All],4,FALSE)</f>
        <v>S  (Sanitair)</v>
      </c>
      <c r="Q453" s="201"/>
      <c r="R453" s="202">
        <v>42</v>
      </c>
      <c r="S453" s="202" t="s">
        <v>19</v>
      </c>
      <c r="T453" s="202">
        <f>IF(R453&gt;0,IF(RIGHT(Ruimtestaat[[#This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453" s="202">
        <f>IF(T453&gt;0,VLOOKUP($J453,Ruimtegroepen[],3,FALSE)*VLOOKUP($L453,Vloersoorten[],3,FALSE)*VLOOKUP($S453,Frequenties[],3,FALSE)*VLOOKUP($A453,Locaties[],3,FALSE),0)</f>
        <v>0</v>
      </c>
      <c r="V453" s="202">
        <f>Ruimtestaat[[#This Row],[Uitvoeringen werkdagen]]*Ruimtestaat[[#This Row],[Oppervlak (netto)]]</f>
        <v>2100</v>
      </c>
      <c r="W453" s="242">
        <f>IF(U453&gt;0,Ruimtestaat[[#This Row],[Prest. (m2 /jaar) werkdagen]]/Ruimtestaat[[#This Row],[Norm (m2/uur) werkdagen]],0)</f>
        <v>0</v>
      </c>
      <c r="X453" s="243">
        <f>Ruimtestaat[[#This Row],[uren / jaar werkdagen]]*Tariefsopbouw!$D$38</f>
        <v>0</v>
      </c>
      <c r="Y453" s="33"/>
      <c r="Z453" s="33">
        <f>IF(Ruimtestaat[[#This Row],[Frequentie weekend]]&gt;0,VALUE(LEFT(Y453,1))*R453,0)</f>
        <v>0</v>
      </c>
      <c r="AA453" s="33">
        <f>IF($Z453&gt;0,VLOOKUP($J453,Ruimtegroepen[],3,FALSE)*VLOOKUP($L453,Vloersoorten[],3,FALSE)*VLOOKUP($Y453,Frequenties[],3,FALSE)*VLOOKUP(#REF!,Locaties[],3,FALSE),0)</f>
        <v>0</v>
      </c>
      <c r="AB453" s="33"/>
      <c r="AC453" s="33"/>
      <c r="AD453" s="33">
        <f>Ruimtestaat[[#This Row],[uren / jaar weekend]]*Tariefsopbouw!$D$40</f>
        <v>0</v>
      </c>
      <c r="AE453" s="86">
        <f>Ruimtestaat[[#This Row],[Prest. (m2 /jaar) weekend]]+Ruimtestaat[[#This Row],[Prest. (m2 /jaar) werkdagen]]</f>
        <v>2100</v>
      </c>
      <c r="AF453" s="86">
        <f>Ruimtestaat[[#This Row],[uren / jaar weekend]]+Ruimtestaat[[#This Row],[uren / jaar werkdagen]]</f>
        <v>0</v>
      </c>
      <c r="AG453" s="87">
        <f>Ruimtestaat[[#This Row],[kosten / jaar weekend]]+Ruimtestaat[[#This Row],[kosten / jaar werkdagen]]</f>
        <v>0</v>
      </c>
    </row>
    <row r="454" spans="1:33" ht="15" customHeight="1">
      <c r="A454" s="187">
        <v>4</v>
      </c>
      <c r="B454" s="21" t="str">
        <f>VLOOKUP(Ruimtestaat[[#This Row],[Code]],Locaties[#All],2,FALSE)</f>
        <v xml:space="preserve">Lyceumstraat </v>
      </c>
      <c r="C454" s="247" t="str">
        <f>VLOOKUP(Ruimtestaat[[#This Row],[Code]],Locaties[#All],4,FALSE)</f>
        <v>Lyceumstraat 36</v>
      </c>
      <c r="D454" s="247" t="str">
        <f>VLOOKUP(Ruimtestaat[[#This Row],[Code]],Locaties[#All],5,FALSE)</f>
        <v>7572 CR</v>
      </c>
      <c r="E454" s="187" t="str">
        <f>VLOOKUP(Ruimtestaat[[#This Row],[Code]],Locaties[#All],6,FALSE)</f>
        <v>Oldenzaal</v>
      </c>
      <c r="F454" s="248"/>
      <c r="G454" s="246">
        <v>1</v>
      </c>
      <c r="H454" s="246" t="s">
        <v>1124</v>
      </c>
      <c r="I454" s="248" t="s">
        <v>596</v>
      </c>
      <c r="J454" s="187">
        <v>10</v>
      </c>
      <c r="K454" s="187" t="str">
        <f>VLOOKUP(Ruimtestaat[[#This Row],[Ruimte code]],Ruimtegroepen[#All],2,FALSE)</f>
        <v>Trappenhuizen/lift</v>
      </c>
      <c r="L454" s="247" t="s">
        <v>677</v>
      </c>
      <c r="M454" s="249" t="s">
        <v>1200</v>
      </c>
      <c r="N454" s="200">
        <v>59</v>
      </c>
      <c r="O454" s="190"/>
      <c r="P454" s="231" t="str">
        <f>VLOOKUP(Ruimtestaat[[#This Row],[Ruimte code]],Ruimtegroepen[#All],4,FALSE)</f>
        <v>V  (Verkeersruimte)</v>
      </c>
      <c r="Q454" s="201"/>
      <c r="R454" s="202">
        <v>42</v>
      </c>
      <c r="S454" s="202" t="s">
        <v>2</v>
      </c>
      <c r="T454" s="202">
        <f>IF(R454&gt;0,IF(RIGHT(Ruimtestaat[[#This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54" s="202">
        <f>IF(T454&gt;0,VLOOKUP($J454,Ruimtegroepen[],3,FALSE)*VLOOKUP($L454,Vloersoorten[],3,FALSE)*VLOOKUP($S454,Frequenties[],3,FALSE)*VLOOKUP($A454,Locaties[],3,FALSE),0)</f>
        <v>0</v>
      </c>
      <c r="V454" s="202">
        <f>Ruimtestaat[[#This Row],[Uitvoeringen werkdagen]]*Ruimtestaat[[#This Row],[Oppervlak (netto)]]</f>
        <v>12390</v>
      </c>
      <c r="W454" s="242">
        <f>IF(U454&gt;0,Ruimtestaat[[#This Row],[Prest. (m2 /jaar) werkdagen]]/Ruimtestaat[[#This Row],[Norm (m2/uur) werkdagen]],0)</f>
        <v>0</v>
      </c>
      <c r="X454" s="243">
        <f>Ruimtestaat[[#This Row],[uren / jaar werkdagen]]*Tariefsopbouw!$D$38</f>
        <v>0</v>
      </c>
      <c r="Y454" s="33"/>
      <c r="Z454" s="33">
        <f>IF(Ruimtestaat[[#This Row],[Frequentie weekend]]&gt;0,VALUE(LEFT(Y454,1))*R454,0)</f>
        <v>0</v>
      </c>
      <c r="AA454" s="33">
        <f>IF($Z454&gt;0,VLOOKUP($J454,Ruimtegroepen[],3,FALSE)*VLOOKUP($L454,Vloersoorten[],3,FALSE)*VLOOKUP($Y454,Frequenties[],3,FALSE)*VLOOKUP(#REF!,Locaties[],3,FALSE),0)</f>
        <v>0</v>
      </c>
      <c r="AB454" s="33"/>
      <c r="AC454" s="33"/>
      <c r="AD454" s="33">
        <f>Ruimtestaat[[#This Row],[uren / jaar weekend]]*Tariefsopbouw!$D$40</f>
        <v>0</v>
      </c>
      <c r="AE454" s="86">
        <f>Ruimtestaat[[#This Row],[Prest. (m2 /jaar) weekend]]+Ruimtestaat[[#This Row],[Prest. (m2 /jaar) werkdagen]]</f>
        <v>12390</v>
      </c>
      <c r="AF454" s="86">
        <f>Ruimtestaat[[#This Row],[uren / jaar weekend]]+Ruimtestaat[[#This Row],[uren / jaar werkdagen]]</f>
        <v>0</v>
      </c>
      <c r="AG454" s="87">
        <f>Ruimtestaat[[#This Row],[kosten / jaar weekend]]+Ruimtestaat[[#This Row],[kosten / jaar werkdagen]]</f>
        <v>0</v>
      </c>
    </row>
    <row r="455" spans="1:33" ht="15" customHeight="1">
      <c r="A455" s="187">
        <v>4</v>
      </c>
      <c r="B455" s="21" t="str">
        <f>VLOOKUP(Ruimtestaat[[#This Row],[Code]],Locaties[#All],2,FALSE)</f>
        <v xml:space="preserve">Lyceumstraat </v>
      </c>
      <c r="C455" s="247" t="str">
        <f>VLOOKUP(Ruimtestaat[[#This Row],[Code]],Locaties[#All],4,FALSE)</f>
        <v>Lyceumstraat 36</v>
      </c>
      <c r="D455" s="247" t="str">
        <f>VLOOKUP(Ruimtestaat[[#This Row],[Code]],Locaties[#All],5,FALSE)</f>
        <v>7572 CR</v>
      </c>
      <c r="E455" s="187" t="str">
        <f>VLOOKUP(Ruimtestaat[[#This Row],[Code]],Locaties[#All],6,FALSE)</f>
        <v>Oldenzaal</v>
      </c>
      <c r="F455" s="248"/>
      <c r="G455" s="246">
        <v>1</v>
      </c>
      <c r="H455" s="246" t="s">
        <v>1125</v>
      </c>
      <c r="I455" s="248" t="s">
        <v>596</v>
      </c>
      <c r="J455" s="187">
        <v>10</v>
      </c>
      <c r="K455" s="187" t="str">
        <f>VLOOKUP(Ruimtestaat[[#This Row],[Ruimte code]],Ruimtegroepen[#All],2,FALSE)</f>
        <v>Trappenhuizen/lift</v>
      </c>
      <c r="L455" s="247" t="s">
        <v>677</v>
      </c>
      <c r="M455" s="249" t="s">
        <v>1200</v>
      </c>
      <c r="N455" s="200">
        <v>23</v>
      </c>
      <c r="O455" s="190"/>
      <c r="P455" s="231" t="str">
        <f>VLOOKUP(Ruimtestaat[[#This Row],[Ruimte code]],Ruimtegroepen[#All],4,FALSE)</f>
        <v>V  (Verkeersruimte)</v>
      </c>
      <c r="Q455" s="201"/>
      <c r="R455" s="202">
        <v>42</v>
      </c>
      <c r="S455" s="202" t="s">
        <v>2</v>
      </c>
      <c r="T455" s="202">
        <f>IF(R455&gt;0,IF(RIGHT(Ruimtestaat[[#This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55" s="202">
        <f>IF(T455&gt;0,VLOOKUP($J455,Ruimtegroepen[],3,FALSE)*VLOOKUP($L455,Vloersoorten[],3,FALSE)*VLOOKUP($S455,Frequenties[],3,FALSE)*VLOOKUP($A455,Locaties[],3,FALSE),0)</f>
        <v>0</v>
      </c>
      <c r="V455" s="202">
        <f>Ruimtestaat[[#This Row],[Uitvoeringen werkdagen]]*Ruimtestaat[[#This Row],[Oppervlak (netto)]]</f>
        <v>4830</v>
      </c>
      <c r="W455" s="242">
        <f>IF(U455&gt;0,Ruimtestaat[[#This Row],[Prest. (m2 /jaar) werkdagen]]/Ruimtestaat[[#This Row],[Norm (m2/uur) werkdagen]],0)</f>
        <v>0</v>
      </c>
      <c r="X455" s="243">
        <f>Ruimtestaat[[#This Row],[uren / jaar werkdagen]]*Tariefsopbouw!$D$38</f>
        <v>0</v>
      </c>
      <c r="Y455" s="33"/>
      <c r="Z455" s="33">
        <f>IF(Ruimtestaat[[#This Row],[Frequentie weekend]]&gt;0,VALUE(LEFT(Y455,1))*R455,0)</f>
        <v>0</v>
      </c>
      <c r="AA455" s="33">
        <f>IF($Z455&gt;0,VLOOKUP($J455,Ruimtegroepen[],3,FALSE)*VLOOKUP($L455,Vloersoorten[],3,FALSE)*VLOOKUP($Y455,Frequenties[],3,FALSE)*VLOOKUP(#REF!,Locaties[],3,FALSE),0)</f>
        <v>0</v>
      </c>
      <c r="AB455" s="33"/>
      <c r="AC455" s="33"/>
      <c r="AD455" s="33">
        <f>Ruimtestaat[[#This Row],[uren / jaar weekend]]*Tariefsopbouw!$D$40</f>
        <v>0</v>
      </c>
      <c r="AE455" s="86">
        <f>Ruimtestaat[[#This Row],[Prest. (m2 /jaar) weekend]]+Ruimtestaat[[#This Row],[Prest. (m2 /jaar) werkdagen]]</f>
        <v>4830</v>
      </c>
      <c r="AF455" s="86">
        <f>Ruimtestaat[[#This Row],[uren / jaar weekend]]+Ruimtestaat[[#This Row],[uren / jaar werkdagen]]</f>
        <v>0</v>
      </c>
      <c r="AG455" s="87">
        <f>Ruimtestaat[[#This Row],[kosten / jaar weekend]]+Ruimtestaat[[#This Row],[kosten / jaar werkdagen]]</f>
        <v>0</v>
      </c>
    </row>
    <row r="456" spans="1:33" ht="15" customHeight="1">
      <c r="A456" s="187">
        <v>4</v>
      </c>
      <c r="B456" s="21" t="str">
        <f>VLOOKUP(Ruimtestaat[[#This Row],[Code]],Locaties[#All],2,FALSE)</f>
        <v xml:space="preserve">Lyceumstraat </v>
      </c>
      <c r="C456" s="247" t="str">
        <f>VLOOKUP(Ruimtestaat[[#This Row],[Code]],Locaties[#All],4,FALSE)</f>
        <v>Lyceumstraat 36</v>
      </c>
      <c r="D456" s="247" t="str">
        <f>VLOOKUP(Ruimtestaat[[#This Row],[Code]],Locaties[#All],5,FALSE)</f>
        <v>7572 CR</v>
      </c>
      <c r="E456" s="187" t="str">
        <f>VLOOKUP(Ruimtestaat[[#This Row],[Code]],Locaties[#All],6,FALSE)</f>
        <v>Oldenzaal</v>
      </c>
      <c r="F456" s="248"/>
      <c r="G456" s="246">
        <v>1</v>
      </c>
      <c r="H456" s="246" t="s">
        <v>1126</v>
      </c>
      <c r="I456" s="248" t="s">
        <v>414</v>
      </c>
      <c r="J456" s="187">
        <v>6</v>
      </c>
      <c r="K456" s="187" t="str">
        <f>VLOOKUP(Ruimtestaat[[#This Row],[Ruimte code]],Ruimtegroepen[#All],2,FALSE)</f>
        <v>Gangen/hallen</v>
      </c>
      <c r="L456" s="247" t="s">
        <v>677</v>
      </c>
      <c r="M456" s="249" t="s">
        <v>1200</v>
      </c>
      <c r="N456" s="200">
        <v>170</v>
      </c>
      <c r="O456" s="190"/>
      <c r="P456" s="231" t="str">
        <f>VLOOKUP(Ruimtestaat[[#This Row],[Ruimte code]],Ruimtegroepen[#All],4,FALSE)</f>
        <v>V  (Verkeersruimte)</v>
      </c>
      <c r="Q456" s="201"/>
      <c r="R456" s="202">
        <v>42</v>
      </c>
      <c r="S456" s="202" t="s">
        <v>2</v>
      </c>
      <c r="T456" s="202">
        <f>IF(R456&gt;0,IF(RIGHT(Ruimtestaat[[#This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56" s="202">
        <f>IF(T456&gt;0,VLOOKUP($J456,Ruimtegroepen[],3,FALSE)*VLOOKUP($L456,Vloersoorten[],3,FALSE)*VLOOKUP($S456,Frequenties[],3,FALSE)*VLOOKUP($A456,Locaties[],3,FALSE),0)</f>
        <v>0</v>
      </c>
      <c r="V456" s="202">
        <f>Ruimtestaat[[#This Row],[Uitvoeringen werkdagen]]*Ruimtestaat[[#This Row],[Oppervlak (netto)]]</f>
        <v>35700</v>
      </c>
      <c r="W456" s="242">
        <f>IF(U456&gt;0,Ruimtestaat[[#This Row],[Prest. (m2 /jaar) werkdagen]]/Ruimtestaat[[#This Row],[Norm (m2/uur) werkdagen]],0)</f>
        <v>0</v>
      </c>
      <c r="X456" s="243">
        <f>Ruimtestaat[[#This Row],[uren / jaar werkdagen]]*Tariefsopbouw!$D$38</f>
        <v>0</v>
      </c>
      <c r="Y456" s="33"/>
      <c r="Z456" s="33">
        <f>IF(Ruimtestaat[[#This Row],[Frequentie weekend]]&gt;0,VALUE(LEFT(Y456,1))*R456,0)</f>
        <v>0</v>
      </c>
      <c r="AA456" s="33">
        <f>IF($Z456&gt;0,VLOOKUP($J456,Ruimtegroepen[],3,FALSE)*VLOOKUP($L456,Vloersoorten[],3,FALSE)*VLOOKUP($Y456,Frequenties[],3,FALSE)*VLOOKUP(#REF!,Locaties[],3,FALSE),0)</f>
        <v>0</v>
      </c>
      <c r="AB456" s="33"/>
      <c r="AC456" s="33"/>
      <c r="AD456" s="33">
        <f>Ruimtestaat[[#This Row],[uren / jaar weekend]]*Tariefsopbouw!$D$40</f>
        <v>0</v>
      </c>
      <c r="AE456" s="86">
        <f>Ruimtestaat[[#This Row],[Prest. (m2 /jaar) weekend]]+Ruimtestaat[[#This Row],[Prest. (m2 /jaar) werkdagen]]</f>
        <v>35700</v>
      </c>
      <c r="AF456" s="86">
        <f>Ruimtestaat[[#This Row],[uren / jaar weekend]]+Ruimtestaat[[#This Row],[uren / jaar werkdagen]]</f>
        <v>0</v>
      </c>
      <c r="AG456" s="87">
        <f>Ruimtestaat[[#This Row],[kosten / jaar weekend]]+Ruimtestaat[[#This Row],[kosten / jaar werkdagen]]</f>
        <v>0</v>
      </c>
    </row>
    <row r="457" spans="1:33" ht="15" customHeight="1">
      <c r="A457" s="187">
        <v>4</v>
      </c>
      <c r="B457" s="21" t="str">
        <f>VLOOKUP(Ruimtestaat[[#This Row],[Code]],Locaties[#All],2,FALSE)</f>
        <v xml:space="preserve">Lyceumstraat </v>
      </c>
      <c r="C457" s="247" t="str">
        <f>VLOOKUP(Ruimtestaat[[#This Row],[Code]],Locaties[#All],4,FALSE)</f>
        <v>Lyceumstraat 36</v>
      </c>
      <c r="D457" s="247" t="str">
        <f>VLOOKUP(Ruimtestaat[[#This Row],[Code]],Locaties[#All],5,FALSE)</f>
        <v>7572 CR</v>
      </c>
      <c r="E457" s="187" t="str">
        <f>VLOOKUP(Ruimtestaat[[#This Row],[Code]],Locaties[#All],6,FALSE)</f>
        <v>Oldenzaal</v>
      </c>
      <c r="F457" s="248"/>
      <c r="G457" s="246">
        <v>1</v>
      </c>
      <c r="H457" s="246" t="s">
        <v>1127</v>
      </c>
      <c r="I457" s="248" t="s">
        <v>414</v>
      </c>
      <c r="J457" s="187">
        <v>6</v>
      </c>
      <c r="K457" s="187" t="str">
        <f>VLOOKUP(Ruimtestaat[[#This Row],[Ruimte code]],Ruimtegroepen[#All],2,FALSE)</f>
        <v>Gangen/hallen</v>
      </c>
      <c r="L457" s="247" t="s">
        <v>677</v>
      </c>
      <c r="M457" s="249" t="s">
        <v>1200</v>
      </c>
      <c r="N457" s="200">
        <v>135</v>
      </c>
      <c r="O457" s="190"/>
      <c r="P457" s="231" t="str">
        <f>VLOOKUP(Ruimtestaat[[#This Row],[Ruimte code]],Ruimtegroepen[#All],4,FALSE)</f>
        <v>V  (Verkeersruimte)</v>
      </c>
      <c r="Q457" s="201"/>
      <c r="R457" s="202">
        <v>42</v>
      </c>
      <c r="S457" s="202" t="s">
        <v>2</v>
      </c>
      <c r="T457" s="202">
        <f>IF(R457&gt;0,IF(RIGHT(Ruimtestaat[[#This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57" s="202">
        <f>IF(T457&gt;0,VLOOKUP($J457,Ruimtegroepen[],3,FALSE)*VLOOKUP($L457,Vloersoorten[],3,FALSE)*VLOOKUP($S457,Frequenties[],3,FALSE)*VLOOKUP($A457,Locaties[],3,FALSE),0)</f>
        <v>0</v>
      </c>
      <c r="V457" s="202">
        <f>Ruimtestaat[[#This Row],[Uitvoeringen werkdagen]]*Ruimtestaat[[#This Row],[Oppervlak (netto)]]</f>
        <v>28350</v>
      </c>
      <c r="W457" s="242">
        <f>IF(U457&gt;0,Ruimtestaat[[#This Row],[Prest. (m2 /jaar) werkdagen]]/Ruimtestaat[[#This Row],[Norm (m2/uur) werkdagen]],0)</f>
        <v>0</v>
      </c>
      <c r="X457" s="243">
        <f>Ruimtestaat[[#This Row],[uren / jaar werkdagen]]*Tariefsopbouw!$D$38</f>
        <v>0</v>
      </c>
      <c r="Y457" s="33"/>
      <c r="Z457" s="33">
        <f>IF(Ruimtestaat[[#This Row],[Frequentie weekend]]&gt;0,VALUE(LEFT(Y457,1))*R457,0)</f>
        <v>0</v>
      </c>
      <c r="AA457" s="33">
        <f>IF($Z457&gt;0,VLOOKUP($J457,Ruimtegroepen[],3,FALSE)*VLOOKUP($L457,Vloersoorten[],3,FALSE)*VLOOKUP($Y457,Frequenties[],3,FALSE)*VLOOKUP(#REF!,Locaties[],3,FALSE),0)</f>
        <v>0</v>
      </c>
      <c r="AB457" s="33"/>
      <c r="AC457" s="33"/>
      <c r="AD457" s="33">
        <f>Ruimtestaat[[#This Row],[uren / jaar weekend]]*Tariefsopbouw!$D$40</f>
        <v>0</v>
      </c>
      <c r="AE457" s="86">
        <f>Ruimtestaat[[#This Row],[Prest. (m2 /jaar) weekend]]+Ruimtestaat[[#This Row],[Prest. (m2 /jaar) werkdagen]]</f>
        <v>28350</v>
      </c>
      <c r="AF457" s="86">
        <f>Ruimtestaat[[#This Row],[uren / jaar weekend]]+Ruimtestaat[[#This Row],[uren / jaar werkdagen]]</f>
        <v>0</v>
      </c>
      <c r="AG457" s="87">
        <f>Ruimtestaat[[#This Row],[kosten / jaar weekend]]+Ruimtestaat[[#This Row],[kosten / jaar werkdagen]]</f>
        <v>0</v>
      </c>
    </row>
    <row r="458" spans="1:33" ht="15" customHeight="1">
      <c r="A458" s="187">
        <v>4</v>
      </c>
      <c r="B458" s="21" t="str">
        <f>VLOOKUP(Ruimtestaat[[#This Row],[Code]],Locaties[#All],2,FALSE)</f>
        <v xml:space="preserve">Lyceumstraat </v>
      </c>
      <c r="C458" s="247" t="str">
        <f>VLOOKUP(Ruimtestaat[[#This Row],[Code]],Locaties[#All],4,FALSE)</f>
        <v>Lyceumstraat 36</v>
      </c>
      <c r="D458" s="247" t="str">
        <f>VLOOKUP(Ruimtestaat[[#This Row],[Code]],Locaties[#All],5,FALSE)</f>
        <v>7572 CR</v>
      </c>
      <c r="E458" s="187" t="str">
        <f>VLOOKUP(Ruimtestaat[[#This Row],[Code]],Locaties[#All],6,FALSE)</f>
        <v>Oldenzaal</v>
      </c>
      <c r="F458" s="248"/>
      <c r="G458" s="246" t="s">
        <v>679</v>
      </c>
      <c r="H458" s="246" t="s">
        <v>1128</v>
      </c>
      <c r="I458" s="248" t="s">
        <v>40</v>
      </c>
      <c r="J458" s="187">
        <v>7</v>
      </c>
      <c r="K458" s="187" t="str">
        <f>VLOOKUP(Ruimtestaat[[#This Row],[Ruimte code]],Ruimtegroepen[#All],2,FALSE)</f>
        <v>Entree / buitenentree</v>
      </c>
      <c r="L458" s="247" t="s">
        <v>1204</v>
      </c>
      <c r="M458" s="249" t="s">
        <v>1205</v>
      </c>
      <c r="N458" s="200">
        <v>10</v>
      </c>
      <c r="O458" s="190"/>
      <c r="P458" s="231" t="str">
        <f>VLOOKUP(Ruimtestaat[[#This Row],[Ruimte code]],Ruimtegroepen[#All],4,FALSE)</f>
        <v>V  (Verkeersruimte)</v>
      </c>
      <c r="Q458" s="201"/>
      <c r="R458" s="202">
        <v>42</v>
      </c>
      <c r="S458" s="202" t="s">
        <v>2</v>
      </c>
      <c r="T458" s="202">
        <f>IF(R458&gt;0,IF(RIGHT(Ruimtestaat[[#This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58" s="202">
        <f>IF(T458&gt;0,VLOOKUP($J458,Ruimtegroepen[],3,FALSE)*VLOOKUP($L458,Vloersoorten[],3,FALSE)*VLOOKUP($S458,Frequenties[],3,FALSE)*VLOOKUP($A458,Locaties[],3,FALSE),0)</f>
        <v>0</v>
      </c>
      <c r="V458" s="202">
        <f>Ruimtestaat[[#This Row],[Uitvoeringen werkdagen]]*Ruimtestaat[[#This Row],[Oppervlak (netto)]]</f>
        <v>2100</v>
      </c>
      <c r="W458" s="242">
        <f>IF(U458&gt;0,Ruimtestaat[[#This Row],[Prest. (m2 /jaar) werkdagen]]/Ruimtestaat[[#This Row],[Norm (m2/uur) werkdagen]],0)</f>
        <v>0</v>
      </c>
      <c r="X458" s="243">
        <f>Ruimtestaat[[#This Row],[uren / jaar werkdagen]]*Tariefsopbouw!$D$38</f>
        <v>0</v>
      </c>
      <c r="Y458" s="33"/>
      <c r="Z458" s="33">
        <f>IF(Ruimtestaat[[#This Row],[Frequentie weekend]]&gt;0,VALUE(LEFT(Y458,1))*R458,0)</f>
        <v>0</v>
      </c>
      <c r="AA458" s="33">
        <f>IF($Z458&gt;0,VLOOKUP($J458,Ruimtegroepen[],3,FALSE)*VLOOKUP($L458,Vloersoorten[],3,FALSE)*VLOOKUP($Y458,Frequenties[],3,FALSE)*VLOOKUP(#REF!,Locaties[],3,FALSE),0)</f>
        <v>0</v>
      </c>
      <c r="AB458" s="33"/>
      <c r="AC458" s="33"/>
      <c r="AD458" s="33">
        <f>Ruimtestaat[[#This Row],[uren / jaar weekend]]*Tariefsopbouw!$D$40</f>
        <v>0</v>
      </c>
      <c r="AE458" s="86">
        <f>Ruimtestaat[[#This Row],[Prest. (m2 /jaar) weekend]]+Ruimtestaat[[#This Row],[Prest. (m2 /jaar) werkdagen]]</f>
        <v>2100</v>
      </c>
      <c r="AF458" s="86">
        <f>Ruimtestaat[[#This Row],[uren / jaar weekend]]+Ruimtestaat[[#This Row],[uren / jaar werkdagen]]</f>
        <v>0</v>
      </c>
      <c r="AG458" s="87">
        <f>Ruimtestaat[[#This Row],[kosten / jaar weekend]]+Ruimtestaat[[#This Row],[kosten / jaar werkdagen]]</f>
        <v>0</v>
      </c>
    </row>
    <row r="459" spans="1:33" ht="15" customHeight="1">
      <c r="A459" s="187">
        <v>4</v>
      </c>
      <c r="B459" s="21" t="str">
        <f>VLOOKUP(Ruimtestaat[[#This Row],[Code]],Locaties[#All],2,FALSE)</f>
        <v xml:space="preserve">Lyceumstraat </v>
      </c>
      <c r="C459" s="247" t="str">
        <f>VLOOKUP(Ruimtestaat[[#This Row],[Code]],Locaties[#All],4,FALSE)</f>
        <v>Lyceumstraat 36</v>
      </c>
      <c r="D459" s="247" t="str">
        <f>VLOOKUP(Ruimtestaat[[#This Row],[Code]],Locaties[#All],5,FALSE)</f>
        <v>7572 CR</v>
      </c>
      <c r="E459" s="187" t="str">
        <f>VLOOKUP(Ruimtestaat[[#This Row],[Code]],Locaties[#All],6,FALSE)</f>
        <v>Oldenzaal</v>
      </c>
      <c r="F459" s="248"/>
      <c r="G459" s="246" t="s">
        <v>679</v>
      </c>
      <c r="H459" s="246" t="s">
        <v>1129</v>
      </c>
      <c r="I459" s="248" t="s">
        <v>500</v>
      </c>
      <c r="J459" s="187">
        <v>10</v>
      </c>
      <c r="K459" s="187" t="str">
        <f>VLOOKUP(Ruimtestaat[[#This Row],[Ruimte code]],Ruimtegroepen[#All],2,FALSE)</f>
        <v>Trappenhuizen/lift</v>
      </c>
      <c r="L459" s="202" t="s">
        <v>108</v>
      </c>
      <c r="M459" s="249" t="s">
        <v>1201</v>
      </c>
      <c r="N459" s="200">
        <v>15</v>
      </c>
      <c r="O459" s="190"/>
      <c r="P459" s="231" t="str">
        <f>VLOOKUP(Ruimtestaat[[#This Row],[Ruimte code]],Ruimtegroepen[#All],4,FALSE)</f>
        <v>V  (Verkeersruimte)</v>
      </c>
      <c r="Q459" s="201"/>
      <c r="R459" s="202">
        <v>42</v>
      </c>
      <c r="S459" s="202" t="s">
        <v>2</v>
      </c>
      <c r="T459" s="202">
        <f>IF(R459&gt;0,IF(RIGHT(Ruimtestaat[[#This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59" s="202">
        <f>IF(T459&gt;0,VLOOKUP($J459,Ruimtegroepen[],3,FALSE)*VLOOKUP($L459,Vloersoorten[],3,FALSE)*VLOOKUP($S459,Frequenties[],3,FALSE)*VLOOKUP($A459,Locaties[],3,FALSE),0)</f>
        <v>0</v>
      </c>
      <c r="V459" s="202">
        <f>Ruimtestaat[[#This Row],[Uitvoeringen werkdagen]]*Ruimtestaat[[#This Row],[Oppervlak (netto)]]</f>
        <v>3150</v>
      </c>
      <c r="W459" s="242">
        <f>IF(U459&gt;0,Ruimtestaat[[#This Row],[Prest. (m2 /jaar) werkdagen]]/Ruimtestaat[[#This Row],[Norm (m2/uur) werkdagen]],0)</f>
        <v>0</v>
      </c>
      <c r="X459" s="243">
        <f>Ruimtestaat[[#This Row],[uren / jaar werkdagen]]*Tariefsopbouw!$D$38</f>
        <v>0</v>
      </c>
      <c r="Y459" s="33"/>
      <c r="Z459" s="33">
        <f>IF(Ruimtestaat[[#This Row],[Frequentie weekend]]&gt;0,VALUE(LEFT(Y459,1))*R459,0)</f>
        <v>0</v>
      </c>
      <c r="AA459" s="33">
        <f>IF($Z459&gt;0,VLOOKUP($J459,Ruimtegroepen[],3,FALSE)*VLOOKUP($L459,Vloersoorten[],3,FALSE)*VLOOKUP($Y459,Frequenties[],3,FALSE)*VLOOKUP(#REF!,Locaties[],3,FALSE),0)</f>
        <v>0</v>
      </c>
      <c r="AB459" s="33"/>
      <c r="AC459" s="33"/>
      <c r="AD459" s="33">
        <f>Ruimtestaat[[#This Row],[uren / jaar weekend]]*Tariefsopbouw!$D$40</f>
        <v>0</v>
      </c>
      <c r="AE459" s="86">
        <f>Ruimtestaat[[#This Row],[Prest. (m2 /jaar) weekend]]+Ruimtestaat[[#This Row],[Prest. (m2 /jaar) werkdagen]]</f>
        <v>3150</v>
      </c>
      <c r="AF459" s="86">
        <f>Ruimtestaat[[#This Row],[uren / jaar weekend]]+Ruimtestaat[[#This Row],[uren / jaar werkdagen]]</f>
        <v>0</v>
      </c>
      <c r="AG459" s="87">
        <f>Ruimtestaat[[#This Row],[kosten / jaar weekend]]+Ruimtestaat[[#This Row],[kosten / jaar werkdagen]]</f>
        <v>0</v>
      </c>
    </row>
    <row r="460" spans="1:33" ht="15" customHeight="1">
      <c r="A460" s="187">
        <v>4</v>
      </c>
      <c r="B460" s="21" t="str">
        <f>VLOOKUP(Ruimtestaat[[#This Row],[Code]],Locaties[#All],2,FALSE)</f>
        <v xml:space="preserve">Lyceumstraat </v>
      </c>
      <c r="C460" s="247" t="str">
        <f>VLOOKUP(Ruimtestaat[[#This Row],[Code]],Locaties[#All],4,FALSE)</f>
        <v>Lyceumstraat 36</v>
      </c>
      <c r="D460" s="247" t="str">
        <f>VLOOKUP(Ruimtestaat[[#This Row],[Code]],Locaties[#All],5,FALSE)</f>
        <v>7572 CR</v>
      </c>
      <c r="E460" s="187" t="str">
        <f>VLOOKUP(Ruimtestaat[[#This Row],[Code]],Locaties[#All],6,FALSE)</f>
        <v>Oldenzaal</v>
      </c>
      <c r="F460" s="248"/>
      <c r="G460" s="246" t="s">
        <v>679</v>
      </c>
      <c r="H460" s="246" t="s">
        <v>1130</v>
      </c>
      <c r="I460" s="248" t="s">
        <v>1131</v>
      </c>
      <c r="J460" s="187">
        <v>20</v>
      </c>
      <c r="K460" s="187" t="str">
        <f>VLOOKUP(Ruimtestaat[[#This Row],[Ruimte code]],Ruimtegroepen[#All],2,FALSE)</f>
        <v>Niet in onderhoud</v>
      </c>
      <c r="L460" s="247" t="s">
        <v>1204</v>
      </c>
      <c r="M460" s="249" t="s">
        <v>1205</v>
      </c>
      <c r="N460" s="200"/>
      <c r="O460" s="190">
        <v>41</v>
      </c>
      <c r="P460" s="231" t="str">
        <f>VLOOKUP(Ruimtestaat[[#This Row],[Ruimte code]],Ruimtegroepen[#All],4,FALSE)</f>
        <v>V  (Verkeersruimte)</v>
      </c>
      <c r="Q460" s="201"/>
      <c r="R460" s="202"/>
      <c r="S460" s="202"/>
      <c r="T460" s="202">
        <f>IF(R460&gt;0,IF(RIGHT(Ruimtestaat[[#This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460" s="202">
        <f>IF(T460&gt;0,VLOOKUP($J460,Ruimtegroepen[],3,FALSE)*VLOOKUP($L460,Vloersoorten[],3,FALSE)*VLOOKUP($S460,Frequenties[],3,FALSE)*VLOOKUP($A460,Locaties[],3,FALSE),0)</f>
        <v>0</v>
      </c>
      <c r="V460" s="202">
        <f>Ruimtestaat[[#This Row],[Uitvoeringen werkdagen]]*Ruimtestaat[[#This Row],[Oppervlak (netto)]]</f>
        <v>0</v>
      </c>
      <c r="W460" s="242">
        <f>IF(U460&gt;0,Ruimtestaat[[#This Row],[Prest. (m2 /jaar) werkdagen]]/Ruimtestaat[[#This Row],[Norm (m2/uur) werkdagen]],0)</f>
        <v>0</v>
      </c>
      <c r="X460" s="243">
        <f>Ruimtestaat[[#This Row],[uren / jaar werkdagen]]*Tariefsopbouw!$D$38</f>
        <v>0</v>
      </c>
      <c r="Y460" s="33"/>
      <c r="Z460" s="33">
        <f>IF(Ruimtestaat[[#This Row],[Frequentie weekend]]&gt;0,VALUE(LEFT(Y460,1))*R460,0)</f>
        <v>0</v>
      </c>
      <c r="AA460" s="33">
        <f>IF($Z460&gt;0,VLOOKUP($J460,Ruimtegroepen[],3,FALSE)*VLOOKUP($L460,Vloersoorten[],3,FALSE)*VLOOKUP($Y460,Frequenties[],3,FALSE)*VLOOKUP(#REF!,Locaties[],3,FALSE),0)</f>
        <v>0</v>
      </c>
      <c r="AB460" s="33"/>
      <c r="AC460" s="33"/>
      <c r="AD460" s="33">
        <f>Ruimtestaat[[#This Row],[uren / jaar weekend]]*Tariefsopbouw!$D$40</f>
        <v>0</v>
      </c>
      <c r="AE460" s="86">
        <f>Ruimtestaat[[#This Row],[Prest. (m2 /jaar) weekend]]+Ruimtestaat[[#This Row],[Prest. (m2 /jaar) werkdagen]]</f>
        <v>0</v>
      </c>
      <c r="AF460" s="86">
        <f>Ruimtestaat[[#This Row],[uren / jaar weekend]]+Ruimtestaat[[#This Row],[uren / jaar werkdagen]]</f>
        <v>0</v>
      </c>
      <c r="AG460" s="87">
        <f>Ruimtestaat[[#This Row],[kosten / jaar weekend]]+Ruimtestaat[[#This Row],[kosten / jaar werkdagen]]</f>
        <v>0</v>
      </c>
    </row>
    <row r="461" spans="1:33" ht="15" customHeight="1">
      <c r="A461" s="187">
        <v>4</v>
      </c>
      <c r="B461" s="21" t="str">
        <f>VLOOKUP(Ruimtestaat[[#This Row],[Code]],Locaties[#All],2,FALSE)</f>
        <v xml:space="preserve">Lyceumstraat </v>
      </c>
      <c r="C461" s="247" t="str">
        <f>VLOOKUP(Ruimtestaat[[#This Row],[Code]],Locaties[#All],4,FALSE)</f>
        <v>Lyceumstraat 36</v>
      </c>
      <c r="D461" s="247" t="str">
        <f>VLOOKUP(Ruimtestaat[[#This Row],[Code]],Locaties[#All],5,FALSE)</f>
        <v>7572 CR</v>
      </c>
      <c r="E461" s="187" t="str">
        <f>VLOOKUP(Ruimtestaat[[#This Row],[Code]],Locaties[#All],6,FALSE)</f>
        <v>Oldenzaal</v>
      </c>
      <c r="F461" s="248"/>
      <c r="G461" s="246" t="s">
        <v>679</v>
      </c>
      <c r="H461" s="246"/>
      <c r="I461" s="248" t="s">
        <v>1132</v>
      </c>
      <c r="J461" s="187">
        <v>19</v>
      </c>
      <c r="K461" s="187" t="str">
        <f>VLOOKUP(Ruimtestaat[[#This Row],[Ruimte code]],Ruimtegroepen[#All],2,FALSE)</f>
        <v>Kleedruimtes</v>
      </c>
      <c r="L461" s="202" t="s">
        <v>108</v>
      </c>
      <c r="M461" s="249" t="s">
        <v>1201</v>
      </c>
      <c r="N461" s="200">
        <v>25</v>
      </c>
      <c r="O461" s="190"/>
      <c r="P461" s="231" t="str">
        <f>VLOOKUP(Ruimtestaat[[#This Row],[Ruimte code]],Ruimtegroepen[#All],4,FALSE)</f>
        <v>V  (Verkeersruimte)</v>
      </c>
      <c r="Q461" s="201"/>
      <c r="R461" s="202">
        <v>21</v>
      </c>
      <c r="S461" s="202" t="s">
        <v>2</v>
      </c>
      <c r="T461" s="202">
        <f>IF(R461&gt;0,IF(RIGHT(Ruimtestaat[[#This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105</v>
      </c>
      <c r="U461" s="202">
        <f>IF(T461&gt;0,VLOOKUP($J461,Ruimtegroepen[],3,FALSE)*VLOOKUP($L461,Vloersoorten[],3,FALSE)*VLOOKUP($S461,Frequenties[],3,FALSE)*VLOOKUP($A461,Locaties[],3,FALSE),0)</f>
        <v>0</v>
      </c>
      <c r="V461" s="202">
        <f>Ruimtestaat[[#This Row],[Uitvoeringen werkdagen]]*Ruimtestaat[[#This Row],[Oppervlak (netto)]]</f>
        <v>2625</v>
      </c>
      <c r="W461" s="242">
        <f>IF(U461&gt;0,Ruimtestaat[[#This Row],[Prest. (m2 /jaar) werkdagen]]/Ruimtestaat[[#This Row],[Norm (m2/uur) werkdagen]],0)</f>
        <v>0</v>
      </c>
      <c r="X461" s="243">
        <f>Ruimtestaat[[#This Row],[uren / jaar werkdagen]]*Tariefsopbouw!$D$38</f>
        <v>0</v>
      </c>
      <c r="Y461" s="33"/>
      <c r="Z461" s="33">
        <f>IF(Ruimtestaat[[#This Row],[Frequentie weekend]]&gt;0,VALUE(LEFT(Y461,1))*R461,0)</f>
        <v>0</v>
      </c>
      <c r="AA461" s="33">
        <f>IF($Z461&gt;0,VLOOKUP($J461,Ruimtegroepen[],3,FALSE)*VLOOKUP($L461,Vloersoorten[],3,FALSE)*VLOOKUP($Y461,Frequenties[],3,FALSE)*VLOOKUP(#REF!,Locaties[],3,FALSE),0)</f>
        <v>0</v>
      </c>
      <c r="AB461" s="33"/>
      <c r="AC461" s="33"/>
      <c r="AD461" s="33">
        <f>Ruimtestaat[[#This Row],[uren / jaar weekend]]*Tariefsopbouw!$D$40</f>
        <v>0</v>
      </c>
      <c r="AE461" s="86">
        <f>Ruimtestaat[[#This Row],[Prest. (m2 /jaar) weekend]]+Ruimtestaat[[#This Row],[Prest. (m2 /jaar) werkdagen]]</f>
        <v>2625</v>
      </c>
      <c r="AF461" s="86">
        <f>Ruimtestaat[[#This Row],[uren / jaar weekend]]+Ruimtestaat[[#This Row],[uren / jaar werkdagen]]</f>
        <v>0</v>
      </c>
      <c r="AG461" s="87">
        <f>Ruimtestaat[[#This Row],[kosten / jaar weekend]]+Ruimtestaat[[#This Row],[kosten / jaar werkdagen]]</f>
        <v>0</v>
      </c>
    </row>
    <row r="462" spans="1:33" ht="15" customHeight="1">
      <c r="A462" s="187">
        <v>4</v>
      </c>
      <c r="B462" s="21" t="str">
        <f>VLOOKUP(Ruimtestaat[[#This Row],[Code]],Locaties[#All],2,FALSE)</f>
        <v xml:space="preserve">Lyceumstraat </v>
      </c>
      <c r="C462" s="247" t="str">
        <f>VLOOKUP(Ruimtestaat[[#This Row],[Code]],Locaties[#All],4,FALSE)</f>
        <v>Lyceumstraat 36</v>
      </c>
      <c r="D462" s="247" t="str">
        <f>VLOOKUP(Ruimtestaat[[#This Row],[Code]],Locaties[#All],5,FALSE)</f>
        <v>7572 CR</v>
      </c>
      <c r="E462" s="187" t="str">
        <f>VLOOKUP(Ruimtestaat[[#This Row],[Code]],Locaties[#All],6,FALSE)</f>
        <v>Oldenzaal</v>
      </c>
      <c r="F462" s="248"/>
      <c r="G462" s="246" t="s">
        <v>679</v>
      </c>
      <c r="H462" s="246"/>
      <c r="I462" s="248" t="s">
        <v>1132</v>
      </c>
      <c r="J462" s="187">
        <v>19</v>
      </c>
      <c r="K462" s="187" t="str">
        <f>VLOOKUP(Ruimtestaat[[#This Row],[Ruimte code]],Ruimtegroepen[#All],2,FALSE)</f>
        <v>Kleedruimtes</v>
      </c>
      <c r="L462" s="202" t="s">
        <v>108</v>
      </c>
      <c r="M462" s="249" t="s">
        <v>1201</v>
      </c>
      <c r="N462" s="200">
        <v>25</v>
      </c>
      <c r="O462" s="190"/>
      <c r="P462" s="231" t="str">
        <f>VLOOKUP(Ruimtestaat[[#This Row],[Ruimte code]],Ruimtegroepen[#All],4,FALSE)</f>
        <v>V  (Verkeersruimte)</v>
      </c>
      <c r="Q462" s="201"/>
      <c r="R462" s="202">
        <v>21</v>
      </c>
      <c r="S462" s="202" t="s">
        <v>2</v>
      </c>
      <c r="T462" s="202">
        <f>IF(R462&gt;0,IF(RIGHT(Ruimtestaat[[#This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105</v>
      </c>
      <c r="U462" s="202">
        <f>IF(T462&gt;0,VLOOKUP($J462,Ruimtegroepen[],3,FALSE)*VLOOKUP($L462,Vloersoorten[],3,FALSE)*VLOOKUP($S462,Frequenties[],3,FALSE)*VLOOKUP($A462,Locaties[],3,FALSE),0)</f>
        <v>0</v>
      </c>
      <c r="V462" s="202">
        <f>Ruimtestaat[[#This Row],[Uitvoeringen werkdagen]]*Ruimtestaat[[#This Row],[Oppervlak (netto)]]</f>
        <v>2625</v>
      </c>
      <c r="W462" s="242">
        <f>IF(U462&gt;0,Ruimtestaat[[#This Row],[Prest. (m2 /jaar) werkdagen]]/Ruimtestaat[[#This Row],[Norm (m2/uur) werkdagen]],0)</f>
        <v>0</v>
      </c>
      <c r="X462" s="243">
        <f>Ruimtestaat[[#This Row],[uren / jaar werkdagen]]*Tariefsopbouw!$D$38</f>
        <v>0</v>
      </c>
      <c r="Y462" s="33"/>
      <c r="Z462" s="33">
        <f>IF(Ruimtestaat[[#This Row],[Frequentie weekend]]&gt;0,VALUE(LEFT(Y462,1))*R462,0)</f>
        <v>0</v>
      </c>
      <c r="AA462" s="33">
        <f>IF($Z462&gt;0,VLOOKUP($J462,Ruimtegroepen[],3,FALSE)*VLOOKUP($L462,Vloersoorten[],3,FALSE)*VLOOKUP($Y462,Frequenties[],3,FALSE)*VLOOKUP(#REF!,Locaties[],3,FALSE),0)</f>
        <v>0</v>
      </c>
      <c r="AB462" s="33"/>
      <c r="AC462" s="33"/>
      <c r="AD462" s="33">
        <f>Ruimtestaat[[#This Row],[uren / jaar weekend]]*Tariefsopbouw!$D$40</f>
        <v>0</v>
      </c>
      <c r="AE462" s="86">
        <f>Ruimtestaat[[#This Row],[Prest. (m2 /jaar) weekend]]+Ruimtestaat[[#This Row],[Prest. (m2 /jaar) werkdagen]]</f>
        <v>2625</v>
      </c>
      <c r="AF462" s="86">
        <f>Ruimtestaat[[#This Row],[uren / jaar weekend]]+Ruimtestaat[[#This Row],[uren / jaar werkdagen]]</f>
        <v>0</v>
      </c>
      <c r="AG462" s="87">
        <f>Ruimtestaat[[#This Row],[kosten / jaar weekend]]+Ruimtestaat[[#This Row],[kosten / jaar werkdagen]]</f>
        <v>0</v>
      </c>
    </row>
    <row r="463" spans="1:33" ht="15" customHeight="1">
      <c r="A463" s="187">
        <v>5</v>
      </c>
      <c r="B463" s="21" t="str">
        <f>VLOOKUP(Ruimtestaat[[#This Row],[Code]],Locaties[#All],2,FALSE)</f>
        <v>Potskamp</v>
      </c>
      <c r="C463" s="231" t="str">
        <f>VLOOKUP(Ruimtestaat[[#This Row],[Code]],Locaties[#All],4,FALSE)</f>
        <v>Potskampstraat 2</v>
      </c>
      <c r="D463" s="231" t="str">
        <f>VLOOKUP(Ruimtestaat[[#This Row],[Code]],Locaties[#All],5,FALSE)</f>
        <v>7573 CC</v>
      </c>
      <c r="E463" s="187" t="str">
        <f>VLOOKUP(Ruimtestaat[[#This Row],[Code]],Locaties[#All],6,FALSE)</f>
        <v>Oldenzaal</v>
      </c>
      <c r="F463" s="232"/>
      <c r="G463" s="187">
        <v>-1</v>
      </c>
      <c r="H463" s="187">
        <v>25</v>
      </c>
      <c r="I463" s="232" t="s">
        <v>745</v>
      </c>
      <c r="J463" s="187">
        <v>2</v>
      </c>
      <c r="K463" s="187" t="str">
        <f>VLOOKUP(Ruimtestaat[[#This Row],[Ruimte code]],Ruimtegroepen[#All],2,FALSE)</f>
        <v>Kantoren/kantoortuin</v>
      </c>
      <c r="L463" s="187" t="s">
        <v>109</v>
      </c>
      <c r="M463" s="187" t="s">
        <v>1203</v>
      </c>
      <c r="N463" s="200">
        <v>33</v>
      </c>
      <c r="O463" s="200"/>
      <c r="P463" s="231" t="str">
        <f>VLOOKUP(Ruimtestaat[[#This Row],[Ruimte code]],Ruimtegroepen[#All],4,FALSE)</f>
        <v>B  (Bureauruimte)</v>
      </c>
      <c r="Q463" s="201"/>
      <c r="R463" s="202">
        <v>42</v>
      </c>
      <c r="S463" s="202" t="s">
        <v>2</v>
      </c>
      <c r="T463" s="202">
        <f>IF(R463&gt;0,IF(RIGHT(Ruimtestaat[[#This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63" s="202">
        <f>IF(T463&gt;0,VLOOKUP($J463,Ruimtegroepen[],3,FALSE)*VLOOKUP($L463,Vloersoorten[],3,FALSE)*VLOOKUP($S463,Frequenties[],3,FALSE)*VLOOKUP($A463,Locaties[],3,FALSE),0)</f>
        <v>0</v>
      </c>
      <c r="V463" s="202">
        <f>Ruimtestaat[[#This Row],[Uitvoeringen werkdagen]]*Ruimtestaat[[#This Row],[Oppervlak (netto)]]</f>
        <v>6930</v>
      </c>
      <c r="W463" s="242">
        <f>IF(U463&gt;0,Ruimtestaat[[#This Row],[Prest. (m2 /jaar) werkdagen]]/Ruimtestaat[[#This Row],[Norm (m2/uur) werkdagen]],0)</f>
        <v>0</v>
      </c>
      <c r="X463" s="243">
        <f>Ruimtestaat[[#This Row],[uren / jaar werkdagen]]*Tariefsopbouw!$D$38</f>
        <v>0</v>
      </c>
      <c r="Y463" s="33"/>
      <c r="Z463" s="33">
        <f>IF(Ruimtestaat[[#This Row],[Frequentie weekend]]&gt;0,VALUE(LEFT(Y463,1))*R463,0)</f>
        <v>0</v>
      </c>
      <c r="AA463" s="33">
        <f>IF($Z463&gt;0,VLOOKUP($J463,Ruimtegroepen[],3,FALSE)*VLOOKUP($L463,Vloersoorten[],3,FALSE)*VLOOKUP($Y463,Frequenties[],3,FALSE)*VLOOKUP(#REF!,Locaties[],3,FALSE),0)</f>
        <v>0</v>
      </c>
      <c r="AB463" s="33"/>
      <c r="AC463" s="33"/>
      <c r="AD463" s="33">
        <f>Ruimtestaat[[#This Row],[uren / jaar weekend]]*Tariefsopbouw!$D$40</f>
        <v>0</v>
      </c>
      <c r="AE463" s="86">
        <f>Ruimtestaat[[#This Row],[Prest. (m2 /jaar) weekend]]+Ruimtestaat[[#This Row],[Prest. (m2 /jaar) werkdagen]]</f>
        <v>6930</v>
      </c>
      <c r="AF463" s="86">
        <f>Ruimtestaat[[#This Row],[uren / jaar weekend]]+Ruimtestaat[[#This Row],[uren / jaar werkdagen]]</f>
        <v>0</v>
      </c>
      <c r="AG463" s="87">
        <f>Ruimtestaat[[#This Row],[kosten / jaar weekend]]+Ruimtestaat[[#This Row],[kosten / jaar werkdagen]]</f>
        <v>0</v>
      </c>
    </row>
    <row r="464" spans="1:33" ht="15" customHeight="1">
      <c r="A464" s="187">
        <v>5</v>
      </c>
      <c r="B464" s="21" t="str">
        <f>VLOOKUP(Ruimtestaat[[#This Row],[Code]],Locaties[#All],2,FALSE)</f>
        <v>Potskamp</v>
      </c>
      <c r="C464" s="231" t="str">
        <f>VLOOKUP(Ruimtestaat[[#This Row],[Code]],Locaties[#All],4,FALSE)</f>
        <v>Potskampstraat 2</v>
      </c>
      <c r="D464" s="231" t="str">
        <f>VLOOKUP(Ruimtestaat[[#This Row],[Code]],Locaties[#All],5,FALSE)</f>
        <v>7573 CC</v>
      </c>
      <c r="E464" s="187" t="str">
        <f>VLOOKUP(Ruimtestaat[[#This Row],[Code]],Locaties[#All],6,FALSE)</f>
        <v>Oldenzaal</v>
      </c>
      <c r="F464" s="232"/>
      <c r="G464" s="187">
        <v>-1</v>
      </c>
      <c r="H464" s="187"/>
      <c r="I464" s="232" t="s">
        <v>500</v>
      </c>
      <c r="J464" s="187">
        <v>10</v>
      </c>
      <c r="K464" s="187" t="str">
        <f>VLOOKUP(Ruimtestaat[[#This Row],[Ruimte code]],Ruimtegroepen[#All],2,FALSE)</f>
        <v>Trappenhuizen/lift</v>
      </c>
      <c r="L464" s="202" t="s">
        <v>108</v>
      </c>
      <c r="M464" s="187" t="s">
        <v>1202</v>
      </c>
      <c r="N464" s="200">
        <v>15</v>
      </c>
      <c r="O464" s="200"/>
      <c r="P464" s="231" t="str">
        <f>VLOOKUP(Ruimtestaat[[#This Row],[Ruimte code]],Ruimtegroepen[#All],4,FALSE)</f>
        <v>V  (Verkeersruimte)</v>
      </c>
      <c r="Q464" s="201"/>
      <c r="R464" s="202">
        <v>42</v>
      </c>
      <c r="S464" s="202" t="s">
        <v>2</v>
      </c>
      <c r="T464" s="202">
        <f>IF(R464&gt;0,IF(RIGHT(Ruimtestaat[[#This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64" s="202">
        <f>IF(T464&gt;0,VLOOKUP($J464,Ruimtegroepen[],3,FALSE)*VLOOKUP($L464,Vloersoorten[],3,FALSE)*VLOOKUP($S464,Frequenties[],3,FALSE)*VLOOKUP($A464,Locaties[],3,FALSE),0)</f>
        <v>0</v>
      </c>
      <c r="V464" s="202">
        <f>Ruimtestaat[[#This Row],[Uitvoeringen werkdagen]]*Ruimtestaat[[#This Row],[Oppervlak (netto)]]</f>
        <v>3150</v>
      </c>
      <c r="W464" s="242">
        <f>IF(U464&gt;0,Ruimtestaat[[#This Row],[Prest. (m2 /jaar) werkdagen]]/Ruimtestaat[[#This Row],[Norm (m2/uur) werkdagen]],0)</f>
        <v>0</v>
      </c>
      <c r="X464" s="243">
        <f>Ruimtestaat[[#This Row],[uren / jaar werkdagen]]*Tariefsopbouw!$D$38</f>
        <v>0</v>
      </c>
      <c r="Y464" s="33"/>
      <c r="Z464" s="33">
        <f>IF(Ruimtestaat[[#This Row],[Frequentie weekend]]&gt;0,VALUE(LEFT(Y464,1))*R464,0)</f>
        <v>0</v>
      </c>
      <c r="AA464" s="33">
        <f>IF($Z464&gt;0,VLOOKUP($J464,Ruimtegroepen[],3,FALSE)*VLOOKUP($L464,Vloersoorten[],3,FALSE)*VLOOKUP($Y464,Frequenties[],3,FALSE)*VLOOKUP(#REF!,Locaties[],3,FALSE),0)</f>
        <v>0</v>
      </c>
      <c r="AB464" s="33"/>
      <c r="AC464" s="33"/>
      <c r="AD464" s="33">
        <f>Ruimtestaat[[#This Row],[uren / jaar weekend]]*Tariefsopbouw!$D$40</f>
        <v>0</v>
      </c>
      <c r="AE464" s="86">
        <f>Ruimtestaat[[#This Row],[Prest. (m2 /jaar) weekend]]+Ruimtestaat[[#This Row],[Prest. (m2 /jaar) werkdagen]]</f>
        <v>3150</v>
      </c>
      <c r="AF464" s="86">
        <f>Ruimtestaat[[#This Row],[uren / jaar weekend]]+Ruimtestaat[[#This Row],[uren / jaar werkdagen]]</f>
        <v>0</v>
      </c>
      <c r="AG464" s="87">
        <f>Ruimtestaat[[#This Row],[kosten / jaar weekend]]+Ruimtestaat[[#This Row],[kosten / jaar werkdagen]]</f>
        <v>0</v>
      </c>
    </row>
    <row r="465" spans="1:33" ht="15" customHeight="1">
      <c r="A465" s="187">
        <v>5</v>
      </c>
      <c r="B465" s="21" t="str">
        <f>VLOOKUP(Ruimtestaat[[#This Row],[Code]],Locaties[#All],2,FALSE)</f>
        <v>Potskamp</v>
      </c>
      <c r="C465" s="231" t="str">
        <f>VLOOKUP(Ruimtestaat[[#This Row],[Code]],Locaties[#All],4,FALSE)</f>
        <v>Potskampstraat 2</v>
      </c>
      <c r="D465" s="231" t="str">
        <f>VLOOKUP(Ruimtestaat[[#This Row],[Code]],Locaties[#All],5,FALSE)</f>
        <v>7573 CC</v>
      </c>
      <c r="E465" s="187" t="str">
        <f>VLOOKUP(Ruimtestaat[[#This Row],[Code]],Locaties[#All],6,FALSE)</f>
        <v>Oldenzaal</v>
      </c>
      <c r="F465" s="232"/>
      <c r="G465" s="187">
        <v>-1</v>
      </c>
      <c r="H465" s="187">
        <v>17</v>
      </c>
      <c r="I465" s="232" t="s">
        <v>740</v>
      </c>
      <c r="J465" s="187">
        <v>13</v>
      </c>
      <c r="K465" s="187" t="str">
        <f>VLOOKUP(Ruimtestaat[[#This Row],[Ruimte code]],Ruimtegroepen[#All],2,FALSE)</f>
        <v>Personeelskamer</v>
      </c>
      <c r="L465" s="231" t="s">
        <v>1204</v>
      </c>
      <c r="M465" s="187" t="s">
        <v>1205</v>
      </c>
      <c r="N465" s="200">
        <v>337</v>
      </c>
      <c r="O465" s="200"/>
      <c r="P465" s="231" t="str">
        <f>VLOOKUP(Ruimtestaat[[#This Row],[Ruimte code]],Ruimtegroepen[#All],4,FALSE)</f>
        <v>V  (Verkeersruimte)</v>
      </c>
      <c r="Q465" s="201"/>
      <c r="R465" s="202">
        <v>42</v>
      </c>
      <c r="S465" s="202" t="s">
        <v>2</v>
      </c>
      <c r="T465" s="202">
        <f>IF(R465&gt;0,IF(RIGHT(Ruimtestaat[[#This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65" s="202">
        <f>IF(T465&gt;0,VLOOKUP($J465,Ruimtegroepen[],3,FALSE)*VLOOKUP($L465,Vloersoorten[],3,FALSE)*VLOOKUP($S465,Frequenties[],3,FALSE)*VLOOKUP($A465,Locaties[],3,FALSE),0)</f>
        <v>0</v>
      </c>
      <c r="V465" s="202">
        <f>Ruimtestaat[[#This Row],[Uitvoeringen werkdagen]]*Ruimtestaat[[#This Row],[Oppervlak (netto)]]</f>
        <v>70770</v>
      </c>
      <c r="W465" s="242">
        <f>IF(U465&gt;0,Ruimtestaat[[#This Row],[Prest. (m2 /jaar) werkdagen]]/Ruimtestaat[[#This Row],[Norm (m2/uur) werkdagen]],0)</f>
        <v>0</v>
      </c>
      <c r="X465" s="243">
        <f>Ruimtestaat[[#This Row],[uren / jaar werkdagen]]*Tariefsopbouw!$D$38</f>
        <v>0</v>
      </c>
      <c r="Y465" s="33"/>
      <c r="Z465" s="33">
        <f>IF(Ruimtestaat[[#This Row],[Frequentie weekend]]&gt;0,VALUE(LEFT(Y465,1))*R465,0)</f>
        <v>0</v>
      </c>
      <c r="AA465" s="33">
        <f>IF($Z465&gt;0,VLOOKUP($J465,Ruimtegroepen[],3,FALSE)*VLOOKUP($L465,Vloersoorten[],3,FALSE)*VLOOKUP($Y465,Frequenties[],3,FALSE)*VLOOKUP(#REF!,Locaties[],3,FALSE),0)</f>
        <v>0</v>
      </c>
      <c r="AB465" s="33"/>
      <c r="AC465" s="33"/>
      <c r="AD465" s="33">
        <f>Ruimtestaat[[#This Row],[uren / jaar weekend]]*Tariefsopbouw!$D$40</f>
        <v>0</v>
      </c>
      <c r="AE465" s="86">
        <f>Ruimtestaat[[#This Row],[Prest. (m2 /jaar) weekend]]+Ruimtestaat[[#This Row],[Prest. (m2 /jaar) werkdagen]]</f>
        <v>70770</v>
      </c>
      <c r="AF465" s="86">
        <f>Ruimtestaat[[#This Row],[uren / jaar weekend]]+Ruimtestaat[[#This Row],[uren / jaar werkdagen]]</f>
        <v>0</v>
      </c>
      <c r="AG465" s="87">
        <f>Ruimtestaat[[#This Row],[kosten / jaar weekend]]+Ruimtestaat[[#This Row],[kosten / jaar werkdagen]]</f>
        <v>0</v>
      </c>
    </row>
    <row r="466" spans="1:33" ht="15" customHeight="1">
      <c r="A466" s="187">
        <v>5</v>
      </c>
      <c r="B466" s="21" t="str">
        <f>VLOOKUP(Ruimtestaat[[#This Row],[Code]],Locaties[#All],2,FALSE)</f>
        <v>Potskamp</v>
      </c>
      <c r="C466" s="231" t="str">
        <f>VLOOKUP(Ruimtestaat[[#This Row],[Code]],Locaties[#All],4,FALSE)</f>
        <v>Potskampstraat 2</v>
      </c>
      <c r="D466" s="231" t="str">
        <f>VLOOKUP(Ruimtestaat[[#This Row],[Code]],Locaties[#All],5,FALSE)</f>
        <v>7573 CC</v>
      </c>
      <c r="E466" s="187" t="str">
        <f>VLOOKUP(Ruimtestaat[[#This Row],[Code]],Locaties[#All],6,FALSE)</f>
        <v>Oldenzaal</v>
      </c>
      <c r="F466" s="232"/>
      <c r="G466" s="187">
        <v>-1</v>
      </c>
      <c r="H466" s="187"/>
      <c r="I466" s="232" t="s">
        <v>414</v>
      </c>
      <c r="J466" s="187">
        <v>6</v>
      </c>
      <c r="K466" s="187" t="str">
        <f>VLOOKUP(Ruimtestaat[[#This Row],[Ruimte code]],Ruimtegroepen[#All],2,FALSE)</f>
        <v>Gangen/hallen</v>
      </c>
      <c r="L466" s="187" t="s">
        <v>109</v>
      </c>
      <c r="M466" s="187" t="s">
        <v>1203</v>
      </c>
      <c r="N466" s="200">
        <v>136.69999999999999</v>
      </c>
      <c r="O466" s="200"/>
      <c r="P466" s="231" t="str">
        <f>VLOOKUP(Ruimtestaat[[#This Row],[Ruimte code]],Ruimtegroepen[#All],4,FALSE)</f>
        <v>V  (Verkeersruimte)</v>
      </c>
      <c r="Q466" s="201"/>
      <c r="R466" s="202">
        <v>42</v>
      </c>
      <c r="S466" s="202" t="s">
        <v>2</v>
      </c>
      <c r="T466" s="202">
        <f>IF(R466&gt;0,IF(RIGHT(Ruimtestaat[[#This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66" s="202">
        <f>IF(T466&gt;0,VLOOKUP($J466,Ruimtegroepen[],3,FALSE)*VLOOKUP($L466,Vloersoorten[],3,FALSE)*VLOOKUP($S466,Frequenties[],3,FALSE)*VLOOKUP($A466,Locaties[],3,FALSE),0)</f>
        <v>0</v>
      </c>
      <c r="V466" s="202">
        <f>Ruimtestaat[[#This Row],[Uitvoeringen werkdagen]]*Ruimtestaat[[#This Row],[Oppervlak (netto)]]</f>
        <v>28706.999999999996</v>
      </c>
      <c r="W466" s="242">
        <f>IF(U466&gt;0,Ruimtestaat[[#This Row],[Prest. (m2 /jaar) werkdagen]]/Ruimtestaat[[#This Row],[Norm (m2/uur) werkdagen]],0)</f>
        <v>0</v>
      </c>
      <c r="X466" s="243">
        <f>Ruimtestaat[[#This Row],[uren / jaar werkdagen]]*Tariefsopbouw!$D$38</f>
        <v>0</v>
      </c>
      <c r="Y466" s="33"/>
      <c r="Z466" s="33">
        <f>IF(Ruimtestaat[[#This Row],[Frequentie weekend]]&gt;0,VALUE(LEFT(Y466,1))*R466,0)</f>
        <v>0</v>
      </c>
      <c r="AA466" s="33">
        <f>IF($Z466&gt;0,VLOOKUP($J466,Ruimtegroepen[],3,FALSE)*VLOOKUP($L466,Vloersoorten[],3,FALSE)*VLOOKUP($Y466,Frequenties[],3,FALSE)*VLOOKUP(#REF!,Locaties[],3,FALSE),0)</f>
        <v>0</v>
      </c>
      <c r="AB466" s="33"/>
      <c r="AC466" s="33"/>
      <c r="AD466" s="33">
        <f>Ruimtestaat[[#This Row],[uren / jaar weekend]]*Tariefsopbouw!$D$40</f>
        <v>0</v>
      </c>
      <c r="AE466" s="86">
        <f>Ruimtestaat[[#This Row],[Prest. (m2 /jaar) weekend]]+Ruimtestaat[[#This Row],[Prest. (m2 /jaar) werkdagen]]</f>
        <v>28706.999999999996</v>
      </c>
      <c r="AF466" s="86">
        <f>Ruimtestaat[[#This Row],[uren / jaar weekend]]+Ruimtestaat[[#This Row],[uren / jaar werkdagen]]</f>
        <v>0</v>
      </c>
      <c r="AG466" s="87">
        <f>Ruimtestaat[[#This Row],[kosten / jaar weekend]]+Ruimtestaat[[#This Row],[kosten / jaar werkdagen]]</f>
        <v>0</v>
      </c>
    </row>
    <row r="467" spans="1:33" ht="15" customHeight="1">
      <c r="A467" s="187">
        <v>5</v>
      </c>
      <c r="B467" s="21" t="str">
        <f>VLOOKUP(Ruimtestaat[[#This Row],[Code]],Locaties[#All],2,FALSE)</f>
        <v>Potskamp</v>
      </c>
      <c r="C467" s="231" t="str">
        <f>VLOOKUP(Ruimtestaat[[#This Row],[Code]],Locaties[#All],4,FALSE)</f>
        <v>Potskampstraat 2</v>
      </c>
      <c r="D467" s="231" t="str">
        <f>VLOOKUP(Ruimtestaat[[#This Row],[Code]],Locaties[#All],5,FALSE)</f>
        <v>7573 CC</v>
      </c>
      <c r="E467" s="187" t="str">
        <f>VLOOKUP(Ruimtestaat[[#This Row],[Code]],Locaties[#All],6,FALSE)</f>
        <v>Oldenzaal</v>
      </c>
      <c r="F467" s="232"/>
      <c r="G467" s="187">
        <v>-1</v>
      </c>
      <c r="H467" s="187"/>
      <c r="I467" s="232" t="s">
        <v>698</v>
      </c>
      <c r="J467" s="187">
        <v>5</v>
      </c>
      <c r="K467" s="187" t="str">
        <f>VLOOKUP(Ruimtestaat[[#This Row],[Ruimte code]],Ruimtegroepen[#All],2,FALSE)</f>
        <v>Sanitair</v>
      </c>
      <c r="L467" s="202" t="s">
        <v>108</v>
      </c>
      <c r="M467" s="187" t="s">
        <v>1201</v>
      </c>
      <c r="N467" s="200">
        <v>6.6</v>
      </c>
      <c r="O467" s="200"/>
      <c r="P467" s="231" t="str">
        <f>VLOOKUP(Ruimtestaat[[#This Row],[Ruimte code]],Ruimtegroepen[#All],4,FALSE)</f>
        <v>S  (Sanitair)</v>
      </c>
      <c r="Q467" s="201"/>
      <c r="R467" s="202">
        <v>42</v>
      </c>
      <c r="S467" s="202" t="s">
        <v>19</v>
      </c>
      <c r="T467" s="202">
        <f>IF(R467&gt;0,IF(RIGHT(Ruimtestaat[[#This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467" s="202">
        <f>IF(T467&gt;0,VLOOKUP($J467,Ruimtegroepen[],3,FALSE)*VLOOKUP($L467,Vloersoorten[],3,FALSE)*VLOOKUP($S467,Frequenties[],3,FALSE)*VLOOKUP($A467,Locaties[],3,FALSE),0)</f>
        <v>0</v>
      </c>
      <c r="V467" s="202">
        <f>Ruimtestaat[[#This Row],[Uitvoeringen werkdagen]]*Ruimtestaat[[#This Row],[Oppervlak (netto)]]</f>
        <v>2772</v>
      </c>
      <c r="W467" s="242">
        <f>IF(U467&gt;0,Ruimtestaat[[#This Row],[Prest. (m2 /jaar) werkdagen]]/Ruimtestaat[[#This Row],[Norm (m2/uur) werkdagen]],0)</f>
        <v>0</v>
      </c>
      <c r="X467" s="243">
        <f>Ruimtestaat[[#This Row],[uren / jaar werkdagen]]*Tariefsopbouw!$D$38</f>
        <v>0</v>
      </c>
      <c r="Y467" s="33"/>
      <c r="Z467" s="33">
        <f>IF(Ruimtestaat[[#This Row],[Frequentie weekend]]&gt;0,VALUE(LEFT(Y467,1))*R467,0)</f>
        <v>0</v>
      </c>
      <c r="AA467" s="33">
        <f>IF($Z467&gt;0,VLOOKUP($J467,Ruimtegroepen[],3,FALSE)*VLOOKUP($L467,Vloersoorten[],3,FALSE)*VLOOKUP($Y467,Frequenties[],3,FALSE)*VLOOKUP(#REF!,Locaties[],3,FALSE),0)</f>
        <v>0</v>
      </c>
      <c r="AB467" s="33"/>
      <c r="AC467" s="33"/>
      <c r="AD467" s="33">
        <f>Ruimtestaat[[#This Row],[uren / jaar weekend]]*Tariefsopbouw!$D$40</f>
        <v>0</v>
      </c>
      <c r="AE467" s="86">
        <f>Ruimtestaat[[#This Row],[Prest. (m2 /jaar) weekend]]+Ruimtestaat[[#This Row],[Prest. (m2 /jaar) werkdagen]]</f>
        <v>2772</v>
      </c>
      <c r="AF467" s="86">
        <f>Ruimtestaat[[#This Row],[uren / jaar weekend]]+Ruimtestaat[[#This Row],[uren / jaar werkdagen]]</f>
        <v>0</v>
      </c>
      <c r="AG467" s="87">
        <f>Ruimtestaat[[#This Row],[kosten / jaar weekend]]+Ruimtestaat[[#This Row],[kosten / jaar werkdagen]]</f>
        <v>0</v>
      </c>
    </row>
    <row r="468" spans="1:33" ht="15" customHeight="1">
      <c r="A468" s="187">
        <v>5</v>
      </c>
      <c r="B468" s="21" t="str">
        <f>VLOOKUP(Ruimtestaat[[#This Row],[Code]],Locaties[#All],2,FALSE)</f>
        <v>Potskamp</v>
      </c>
      <c r="C468" s="231" t="str">
        <f>VLOOKUP(Ruimtestaat[[#This Row],[Code]],Locaties[#All],4,FALSE)</f>
        <v>Potskampstraat 2</v>
      </c>
      <c r="D468" s="231" t="str">
        <f>VLOOKUP(Ruimtestaat[[#This Row],[Code]],Locaties[#All],5,FALSE)</f>
        <v>7573 CC</v>
      </c>
      <c r="E468" s="187" t="str">
        <f>VLOOKUP(Ruimtestaat[[#This Row],[Code]],Locaties[#All],6,FALSE)</f>
        <v>Oldenzaal</v>
      </c>
      <c r="F468" s="232"/>
      <c r="G468" s="187">
        <v>-1</v>
      </c>
      <c r="H468" s="187"/>
      <c r="I468" s="232" t="s">
        <v>698</v>
      </c>
      <c r="J468" s="187">
        <v>5</v>
      </c>
      <c r="K468" s="187" t="str">
        <f>VLOOKUP(Ruimtestaat[[#This Row],[Ruimte code]],Ruimtegroepen[#All],2,FALSE)</f>
        <v>Sanitair</v>
      </c>
      <c r="L468" s="202" t="s">
        <v>108</v>
      </c>
      <c r="M468" s="187" t="s">
        <v>1201</v>
      </c>
      <c r="N468" s="200">
        <v>7.9</v>
      </c>
      <c r="O468" s="200"/>
      <c r="P468" s="231" t="str">
        <f>VLOOKUP(Ruimtestaat[[#This Row],[Ruimte code]],Ruimtegroepen[#All],4,FALSE)</f>
        <v>S  (Sanitair)</v>
      </c>
      <c r="Q468" s="201"/>
      <c r="R468" s="202">
        <v>42</v>
      </c>
      <c r="S468" s="202" t="s">
        <v>19</v>
      </c>
      <c r="T468" s="202">
        <f>IF(R468&gt;0,IF(RIGHT(Ruimtestaat[[#This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468" s="202">
        <f>IF(T468&gt;0,VLOOKUP($J468,Ruimtegroepen[],3,FALSE)*VLOOKUP($L468,Vloersoorten[],3,FALSE)*VLOOKUP($S468,Frequenties[],3,FALSE)*VLOOKUP($A468,Locaties[],3,FALSE),0)</f>
        <v>0</v>
      </c>
      <c r="V468" s="202">
        <f>Ruimtestaat[[#This Row],[Uitvoeringen werkdagen]]*Ruimtestaat[[#This Row],[Oppervlak (netto)]]</f>
        <v>3318</v>
      </c>
      <c r="W468" s="242">
        <f>IF(U468&gt;0,Ruimtestaat[[#This Row],[Prest. (m2 /jaar) werkdagen]]/Ruimtestaat[[#This Row],[Norm (m2/uur) werkdagen]],0)</f>
        <v>0</v>
      </c>
      <c r="X468" s="243">
        <f>Ruimtestaat[[#This Row],[uren / jaar werkdagen]]*Tariefsopbouw!$D$38</f>
        <v>0</v>
      </c>
      <c r="Y468" s="33"/>
      <c r="Z468" s="33">
        <f>IF(Ruimtestaat[[#This Row],[Frequentie weekend]]&gt;0,VALUE(LEFT(Y468,1))*R468,0)</f>
        <v>0</v>
      </c>
      <c r="AA468" s="33">
        <f>IF($Z468&gt;0,VLOOKUP($J468,Ruimtegroepen[],3,FALSE)*VLOOKUP($L468,Vloersoorten[],3,FALSE)*VLOOKUP($Y468,Frequenties[],3,FALSE)*VLOOKUP(#REF!,Locaties[],3,FALSE),0)</f>
        <v>0</v>
      </c>
      <c r="AB468" s="33"/>
      <c r="AC468" s="33"/>
      <c r="AD468" s="33">
        <f>Ruimtestaat[[#This Row],[uren / jaar weekend]]*Tariefsopbouw!$D$40</f>
        <v>0</v>
      </c>
      <c r="AE468" s="86">
        <f>Ruimtestaat[[#This Row],[Prest. (m2 /jaar) weekend]]+Ruimtestaat[[#This Row],[Prest. (m2 /jaar) werkdagen]]</f>
        <v>3318</v>
      </c>
      <c r="AF468" s="86">
        <f>Ruimtestaat[[#This Row],[uren / jaar weekend]]+Ruimtestaat[[#This Row],[uren / jaar werkdagen]]</f>
        <v>0</v>
      </c>
      <c r="AG468" s="87">
        <f>Ruimtestaat[[#This Row],[kosten / jaar weekend]]+Ruimtestaat[[#This Row],[kosten / jaar werkdagen]]</f>
        <v>0</v>
      </c>
    </row>
    <row r="469" spans="1:33" ht="15" customHeight="1">
      <c r="A469" s="187">
        <v>5</v>
      </c>
      <c r="B469" s="21" t="str">
        <f>VLOOKUP(Ruimtestaat[[#This Row],[Code]],Locaties[#All],2,FALSE)</f>
        <v>Potskamp</v>
      </c>
      <c r="C469" s="231" t="str">
        <f>VLOOKUP(Ruimtestaat[[#This Row],[Code]],Locaties[#All],4,FALSE)</f>
        <v>Potskampstraat 2</v>
      </c>
      <c r="D469" s="231" t="str">
        <f>VLOOKUP(Ruimtestaat[[#This Row],[Code]],Locaties[#All],5,FALSE)</f>
        <v>7573 CC</v>
      </c>
      <c r="E469" s="187" t="str">
        <f>VLOOKUP(Ruimtestaat[[#This Row],[Code]],Locaties[#All],6,FALSE)</f>
        <v>Oldenzaal</v>
      </c>
      <c r="F469" s="232"/>
      <c r="G469" s="187">
        <v>-1</v>
      </c>
      <c r="H469" s="187">
        <v>12</v>
      </c>
      <c r="I469" s="232" t="s">
        <v>476</v>
      </c>
      <c r="J469" s="187">
        <v>4</v>
      </c>
      <c r="K469" s="187" t="str">
        <f>VLOOKUP(Ruimtestaat[[#This Row],[Ruimte code]],Ruimtegroepen[#All],2,FALSE)</f>
        <v>Vergader/spreekkamers</v>
      </c>
      <c r="L469" s="231" t="s">
        <v>1204</v>
      </c>
      <c r="M469" s="187" t="s">
        <v>1205</v>
      </c>
      <c r="N469" s="200">
        <v>7.2</v>
      </c>
      <c r="O469" s="200"/>
      <c r="P469" s="231" t="str">
        <f>VLOOKUP(Ruimtestaat[[#This Row],[Ruimte code]],Ruimtegroepen[#All],4,FALSE)</f>
        <v>B  (Bureauruimte)</v>
      </c>
      <c r="Q469" s="201"/>
      <c r="R469" s="202">
        <v>42</v>
      </c>
      <c r="S469" s="202" t="s">
        <v>2</v>
      </c>
      <c r="T469" s="202">
        <f>IF(R469&gt;0,IF(RIGHT(Ruimtestaat[[#This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69" s="202">
        <f>IF(T469&gt;0,VLOOKUP($J469,Ruimtegroepen[],3,FALSE)*VLOOKUP($L469,Vloersoorten[],3,FALSE)*VLOOKUP($S469,Frequenties[],3,FALSE)*VLOOKUP($A469,Locaties[],3,FALSE),0)</f>
        <v>0</v>
      </c>
      <c r="V469" s="202">
        <f>Ruimtestaat[[#This Row],[Uitvoeringen werkdagen]]*Ruimtestaat[[#This Row],[Oppervlak (netto)]]</f>
        <v>1512</v>
      </c>
      <c r="W469" s="242">
        <f>IF(U469&gt;0,Ruimtestaat[[#This Row],[Prest. (m2 /jaar) werkdagen]]/Ruimtestaat[[#This Row],[Norm (m2/uur) werkdagen]],0)</f>
        <v>0</v>
      </c>
      <c r="X469" s="243">
        <f>Ruimtestaat[[#This Row],[uren / jaar werkdagen]]*Tariefsopbouw!$D$38</f>
        <v>0</v>
      </c>
      <c r="Y469" s="33"/>
      <c r="Z469" s="33">
        <f>IF(Ruimtestaat[[#This Row],[Frequentie weekend]]&gt;0,VALUE(LEFT(Y469,1))*R469,0)</f>
        <v>0</v>
      </c>
      <c r="AA469" s="33">
        <f>IF($Z469&gt;0,VLOOKUP($J469,Ruimtegroepen[],3,FALSE)*VLOOKUP($L469,Vloersoorten[],3,FALSE)*VLOOKUP($Y469,Frequenties[],3,FALSE)*VLOOKUP(#REF!,Locaties[],3,FALSE),0)</f>
        <v>0</v>
      </c>
      <c r="AB469" s="33"/>
      <c r="AC469" s="33"/>
      <c r="AD469" s="33">
        <f>Ruimtestaat[[#This Row],[uren / jaar weekend]]*Tariefsopbouw!$D$40</f>
        <v>0</v>
      </c>
      <c r="AE469" s="86">
        <f>Ruimtestaat[[#This Row],[Prest. (m2 /jaar) weekend]]+Ruimtestaat[[#This Row],[Prest. (m2 /jaar) werkdagen]]</f>
        <v>1512</v>
      </c>
      <c r="AF469" s="86">
        <f>Ruimtestaat[[#This Row],[uren / jaar weekend]]+Ruimtestaat[[#This Row],[uren / jaar werkdagen]]</f>
        <v>0</v>
      </c>
      <c r="AG469" s="87">
        <f>Ruimtestaat[[#This Row],[kosten / jaar weekend]]+Ruimtestaat[[#This Row],[kosten / jaar werkdagen]]</f>
        <v>0</v>
      </c>
    </row>
    <row r="470" spans="1:33" ht="15" customHeight="1">
      <c r="A470" s="187">
        <v>5</v>
      </c>
      <c r="B470" s="21" t="str">
        <f>VLOOKUP(Ruimtestaat[[#This Row],[Code]],Locaties[#All],2,FALSE)</f>
        <v>Potskamp</v>
      </c>
      <c r="C470" s="231" t="str">
        <f>VLOOKUP(Ruimtestaat[[#This Row],[Code]],Locaties[#All],4,FALSE)</f>
        <v>Potskampstraat 2</v>
      </c>
      <c r="D470" s="231" t="str">
        <f>VLOOKUP(Ruimtestaat[[#This Row],[Code]],Locaties[#All],5,FALSE)</f>
        <v>7573 CC</v>
      </c>
      <c r="E470" s="187" t="str">
        <f>VLOOKUP(Ruimtestaat[[#This Row],[Code]],Locaties[#All],6,FALSE)</f>
        <v>Oldenzaal</v>
      </c>
      <c r="F470" s="232"/>
      <c r="G470" s="187">
        <v>-1</v>
      </c>
      <c r="H470" s="187">
        <v>19</v>
      </c>
      <c r="I470" s="232" t="s">
        <v>590</v>
      </c>
      <c r="J470" s="231">
        <v>2</v>
      </c>
      <c r="K470" s="231" t="str">
        <f>VLOOKUP(Ruimtestaat[[#This Row],[Ruimte code]],Ruimtegroepen[#All],2,FALSE)</f>
        <v>Kantoren/kantoortuin</v>
      </c>
      <c r="L470" s="231" t="s">
        <v>1204</v>
      </c>
      <c r="M470" s="187" t="s">
        <v>1205</v>
      </c>
      <c r="N470" s="200">
        <v>23.8</v>
      </c>
      <c r="O470" s="200"/>
      <c r="P470" s="231" t="str">
        <f>VLOOKUP(Ruimtestaat[[#This Row],[Ruimte code]],Ruimtegroepen[#All],4,FALSE)</f>
        <v>B  (Bureauruimte)</v>
      </c>
      <c r="Q470" s="201"/>
      <c r="R470" s="202">
        <v>42</v>
      </c>
      <c r="S470" s="202" t="s">
        <v>2</v>
      </c>
      <c r="T470" s="202">
        <f>IF(R470&gt;0,IF(RIGHT(Ruimtestaat[[#This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70" s="202">
        <f>IF(T470&gt;0,VLOOKUP($J470,Ruimtegroepen[],3,FALSE)*VLOOKUP($L470,Vloersoorten[],3,FALSE)*VLOOKUP($S470,Frequenties[],3,FALSE)*VLOOKUP($A470,Locaties[],3,FALSE),0)</f>
        <v>0</v>
      </c>
      <c r="V470" s="202">
        <f>Ruimtestaat[[#This Row],[Uitvoeringen werkdagen]]*Ruimtestaat[[#This Row],[Oppervlak (netto)]]</f>
        <v>4998</v>
      </c>
      <c r="W470" s="242">
        <f>IF(U470&gt;0,Ruimtestaat[[#This Row],[Prest. (m2 /jaar) werkdagen]]/Ruimtestaat[[#This Row],[Norm (m2/uur) werkdagen]],0)</f>
        <v>0</v>
      </c>
      <c r="X470" s="243">
        <f>Ruimtestaat[[#This Row],[uren / jaar werkdagen]]*Tariefsopbouw!$D$38</f>
        <v>0</v>
      </c>
      <c r="Y470" s="33"/>
      <c r="Z470" s="33">
        <f>IF(Ruimtestaat[[#This Row],[Frequentie weekend]]&gt;0,VALUE(LEFT(Y470,1))*R470,0)</f>
        <v>0</v>
      </c>
      <c r="AA470" s="33">
        <f>IF($Z470&gt;0,VLOOKUP($J470,Ruimtegroepen[],3,FALSE)*VLOOKUP($L470,Vloersoorten[],3,FALSE)*VLOOKUP($Y470,Frequenties[],3,FALSE)*VLOOKUP(#REF!,Locaties[],3,FALSE),0)</f>
        <v>0</v>
      </c>
      <c r="AB470" s="33"/>
      <c r="AC470" s="33"/>
      <c r="AD470" s="33">
        <f>Ruimtestaat[[#This Row],[uren / jaar weekend]]*Tariefsopbouw!$D$40</f>
        <v>0</v>
      </c>
      <c r="AE470" s="86">
        <f>Ruimtestaat[[#This Row],[Prest. (m2 /jaar) weekend]]+Ruimtestaat[[#This Row],[Prest. (m2 /jaar) werkdagen]]</f>
        <v>4998</v>
      </c>
      <c r="AF470" s="86">
        <f>Ruimtestaat[[#This Row],[uren / jaar weekend]]+Ruimtestaat[[#This Row],[uren / jaar werkdagen]]</f>
        <v>0</v>
      </c>
      <c r="AG470" s="87">
        <f>Ruimtestaat[[#This Row],[kosten / jaar weekend]]+Ruimtestaat[[#This Row],[kosten / jaar werkdagen]]</f>
        <v>0</v>
      </c>
    </row>
    <row r="471" spans="1:33" ht="15" customHeight="1">
      <c r="A471" s="187">
        <v>5</v>
      </c>
      <c r="B471" s="21" t="str">
        <f>VLOOKUP(Ruimtestaat[[#This Row],[Code]],Locaties[#All],2,FALSE)</f>
        <v>Potskamp</v>
      </c>
      <c r="C471" s="231" t="str">
        <f>VLOOKUP(Ruimtestaat[[#This Row],[Code]],Locaties[#All],4,FALSE)</f>
        <v>Potskampstraat 2</v>
      </c>
      <c r="D471" s="231" t="str">
        <f>VLOOKUP(Ruimtestaat[[#This Row],[Code]],Locaties[#All],5,FALSE)</f>
        <v>7573 CC</v>
      </c>
      <c r="E471" s="187" t="str">
        <f>VLOOKUP(Ruimtestaat[[#This Row],[Code]],Locaties[#All],6,FALSE)</f>
        <v>Oldenzaal</v>
      </c>
      <c r="F471" s="232"/>
      <c r="G471" s="187">
        <v>-1</v>
      </c>
      <c r="H471" s="187">
        <v>20</v>
      </c>
      <c r="I471" s="232" t="s">
        <v>590</v>
      </c>
      <c r="J471" s="187">
        <v>2</v>
      </c>
      <c r="K471" s="187" t="str">
        <f>VLOOKUP(Ruimtestaat[[#This Row],[Ruimte code]],Ruimtegroepen[#All],2,FALSE)</f>
        <v>Kantoren/kantoortuin</v>
      </c>
      <c r="L471" s="231" t="s">
        <v>1204</v>
      </c>
      <c r="M471" s="187" t="s">
        <v>1205</v>
      </c>
      <c r="N471" s="200">
        <v>23.1</v>
      </c>
      <c r="O471" s="200"/>
      <c r="P471" s="231" t="str">
        <f>VLOOKUP(Ruimtestaat[[#This Row],[Ruimte code]],Ruimtegroepen[#All],4,FALSE)</f>
        <v>B  (Bureauruimte)</v>
      </c>
      <c r="Q471" s="201"/>
      <c r="R471" s="202">
        <v>42</v>
      </c>
      <c r="S471" s="202" t="s">
        <v>2</v>
      </c>
      <c r="T471" s="202">
        <f>IF(R471&gt;0,IF(RIGHT(Ruimtestaat[[#This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71" s="202">
        <f>IF(T471&gt;0,VLOOKUP($J471,Ruimtegroepen[],3,FALSE)*VLOOKUP($L471,Vloersoorten[],3,FALSE)*VLOOKUP($S471,Frequenties[],3,FALSE)*VLOOKUP($A471,Locaties[],3,FALSE),0)</f>
        <v>0</v>
      </c>
      <c r="V471" s="202">
        <f>Ruimtestaat[[#This Row],[Uitvoeringen werkdagen]]*Ruimtestaat[[#This Row],[Oppervlak (netto)]]</f>
        <v>4851</v>
      </c>
      <c r="W471" s="242">
        <f>IF(U471&gt;0,Ruimtestaat[[#This Row],[Prest. (m2 /jaar) werkdagen]]/Ruimtestaat[[#This Row],[Norm (m2/uur) werkdagen]],0)</f>
        <v>0</v>
      </c>
      <c r="X471" s="243">
        <f>Ruimtestaat[[#This Row],[uren / jaar werkdagen]]*Tariefsopbouw!$D$38</f>
        <v>0</v>
      </c>
      <c r="Y471" s="33"/>
      <c r="Z471" s="33">
        <f>IF(Ruimtestaat[[#This Row],[Frequentie weekend]]&gt;0,VALUE(LEFT(Y471,1))*R471,0)</f>
        <v>0</v>
      </c>
      <c r="AA471" s="33">
        <f>IF($Z471&gt;0,VLOOKUP($J471,Ruimtegroepen[],3,FALSE)*VLOOKUP($L471,Vloersoorten[],3,FALSE)*VLOOKUP($Y471,Frequenties[],3,FALSE)*VLOOKUP(#REF!,Locaties[],3,FALSE),0)</f>
        <v>0</v>
      </c>
      <c r="AB471" s="33"/>
      <c r="AC471" s="33"/>
      <c r="AD471" s="33">
        <f>Ruimtestaat[[#This Row],[uren / jaar weekend]]*Tariefsopbouw!$D$40</f>
        <v>0</v>
      </c>
      <c r="AE471" s="86">
        <f>Ruimtestaat[[#This Row],[Prest. (m2 /jaar) weekend]]+Ruimtestaat[[#This Row],[Prest. (m2 /jaar) werkdagen]]</f>
        <v>4851</v>
      </c>
      <c r="AF471" s="86">
        <f>Ruimtestaat[[#This Row],[uren / jaar weekend]]+Ruimtestaat[[#This Row],[uren / jaar werkdagen]]</f>
        <v>0</v>
      </c>
      <c r="AG471" s="87">
        <f>Ruimtestaat[[#This Row],[kosten / jaar weekend]]+Ruimtestaat[[#This Row],[kosten / jaar werkdagen]]</f>
        <v>0</v>
      </c>
    </row>
    <row r="472" spans="1:33" ht="15" customHeight="1">
      <c r="A472" s="187">
        <v>5</v>
      </c>
      <c r="B472" s="21" t="str">
        <f>VLOOKUP(Ruimtestaat[[#This Row],[Code]],Locaties[#All],2,FALSE)</f>
        <v>Potskamp</v>
      </c>
      <c r="C472" s="231" t="str">
        <f>VLOOKUP(Ruimtestaat[[#This Row],[Code]],Locaties[#All],4,FALSE)</f>
        <v>Potskampstraat 2</v>
      </c>
      <c r="D472" s="231" t="str">
        <f>VLOOKUP(Ruimtestaat[[#This Row],[Code]],Locaties[#All],5,FALSE)</f>
        <v>7573 CC</v>
      </c>
      <c r="E472" s="187" t="str">
        <f>VLOOKUP(Ruimtestaat[[#This Row],[Code]],Locaties[#All],6,FALSE)</f>
        <v>Oldenzaal</v>
      </c>
      <c r="F472" s="232"/>
      <c r="G472" s="187">
        <v>-1</v>
      </c>
      <c r="H472" s="187">
        <v>21</v>
      </c>
      <c r="I472" s="232" t="s">
        <v>590</v>
      </c>
      <c r="J472" s="187">
        <v>2</v>
      </c>
      <c r="K472" s="187" t="str">
        <f>VLOOKUP(Ruimtestaat[[#This Row],[Ruimte code]],Ruimtegroepen[#All],2,FALSE)</f>
        <v>Kantoren/kantoortuin</v>
      </c>
      <c r="L472" s="231" t="s">
        <v>1204</v>
      </c>
      <c r="M472" s="187" t="s">
        <v>1205</v>
      </c>
      <c r="N472" s="200">
        <v>23.1</v>
      </c>
      <c r="O472" s="200"/>
      <c r="P472" s="231" t="str">
        <f>VLOOKUP(Ruimtestaat[[#This Row],[Ruimte code]],Ruimtegroepen[#All],4,FALSE)</f>
        <v>B  (Bureauruimte)</v>
      </c>
      <c r="Q472" s="201"/>
      <c r="R472" s="202">
        <v>42</v>
      </c>
      <c r="S472" s="202" t="s">
        <v>2</v>
      </c>
      <c r="T472" s="202">
        <f>IF(R472&gt;0,IF(RIGHT(Ruimtestaat[[#This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72" s="202">
        <f>IF(T472&gt;0,VLOOKUP($J472,Ruimtegroepen[],3,FALSE)*VLOOKUP($L472,Vloersoorten[],3,FALSE)*VLOOKUP($S472,Frequenties[],3,FALSE)*VLOOKUP($A472,Locaties[],3,FALSE),0)</f>
        <v>0</v>
      </c>
      <c r="V472" s="202">
        <f>Ruimtestaat[[#This Row],[Uitvoeringen werkdagen]]*Ruimtestaat[[#This Row],[Oppervlak (netto)]]</f>
        <v>4851</v>
      </c>
      <c r="W472" s="242">
        <f>IF(U472&gt;0,Ruimtestaat[[#This Row],[Prest. (m2 /jaar) werkdagen]]/Ruimtestaat[[#This Row],[Norm (m2/uur) werkdagen]],0)</f>
        <v>0</v>
      </c>
      <c r="X472" s="243">
        <f>Ruimtestaat[[#This Row],[uren / jaar werkdagen]]*Tariefsopbouw!$D$38</f>
        <v>0</v>
      </c>
      <c r="Y472" s="33"/>
      <c r="Z472" s="33">
        <f>IF(Ruimtestaat[[#This Row],[Frequentie weekend]]&gt;0,VALUE(LEFT(Y472,1))*R472,0)</f>
        <v>0</v>
      </c>
      <c r="AA472" s="33">
        <f>IF($Z472&gt;0,VLOOKUP($J472,Ruimtegroepen[],3,FALSE)*VLOOKUP($L472,Vloersoorten[],3,FALSE)*VLOOKUP($Y472,Frequenties[],3,FALSE)*VLOOKUP(#REF!,Locaties[],3,FALSE),0)</f>
        <v>0</v>
      </c>
      <c r="AB472" s="33"/>
      <c r="AC472" s="33"/>
      <c r="AD472" s="33">
        <f>Ruimtestaat[[#This Row],[uren / jaar weekend]]*Tariefsopbouw!$D$40</f>
        <v>0</v>
      </c>
      <c r="AE472" s="86">
        <f>Ruimtestaat[[#This Row],[Prest. (m2 /jaar) weekend]]+Ruimtestaat[[#This Row],[Prest. (m2 /jaar) werkdagen]]</f>
        <v>4851</v>
      </c>
      <c r="AF472" s="86">
        <f>Ruimtestaat[[#This Row],[uren / jaar weekend]]+Ruimtestaat[[#This Row],[uren / jaar werkdagen]]</f>
        <v>0</v>
      </c>
      <c r="AG472" s="87">
        <f>Ruimtestaat[[#This Row],[kosten / jaar weekend]]+Ruimtestaat[[#This Row],[kosten / jaar werkdagen]]</f>
        <v>0</v>
      </c>
    </row>
    <row r="473" spans="1:33" ht="15" customHeight="1">
      <c r="A473" s="187">
        <v>5</v>
      </c>
      <c r="B473" s="21" t="str">
        <f>VLOOKUP(Ruimtestaat[[#This Row],[Code]],Locaties[#All],2,FALSE)</f>
        <v>Potskamp</v>
      </c>
      <c r="C473" s="231" t="str">
        <f>VLOOKUP(Ruimtestaat[[#This Row],[Code]],Locaties[#All],4,FALSE)</f>
        <v>Potskampstraat 2</v>
      </c>
      <c r="D473" s="231" t="str">
        <f>VLOOKUP(Ruimtestaat[[#This Row],[Code]],Locaties[#All],5,FALSE)</f>
        <v>7573 CC</v>
      </c>
      <c r="E473" s="187" t="str">
        <f>VLOOKUP(Ruimtestaat[[#This Row],[Code]],Locaties[#All],6,FALSE)</f>
        <v>Oldenzaal</v>
      </c>
      <c r="F473" s="232"/>
      <c r="G473" s="187">
        <v>-1</v>
      </c>
      <c r="H473" s="187">
        <v>22</v>
      </c>
      <c r="I473" s="232" t="s">
        <v>590</v>
      </c>
      <c r="J473" s="187">
        <v>2</v>
      </c>
      <c r="K473" s="187" t="str">
        <f>VLOOKUP(Ruimtestaat[[#This Row],[Ruimte code]],Ruimtegroepen[#All],2,FALSE)</f>
        <v>Kantoren/kantoortuin</v>
      </c>
      <c r="L473" s="231" t="s">
        <v>1204</v>
      </c>
      <c r="M473" s="187" t="s">
        <v>1205</v>
      </c>
      <c r="N473" s="200">
        <v>47.4</v>
      </c>
      <c r="O473" s="200"/>
      <c r="P473" s="231" t="str">
        <f>VLOOKUP(Ruimtestaat[[#This Row],[Ruimte code]],Ruimtegroepen[#All],4,FALSE)</f>
        <v>B  (Bureauruimte)</v>
      </c>
      <c r="Q473" s="201"/>
      <c r="R473" s="202">
        <v>42</v>
      </c>
      <c r="S473" s="202" t="s">
        <v>2</v>
      </c>
      <c r="T473" s="202">
        <f>IF(R473&gt;0,IF(RIGHT(Ruimtestaat[[#This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73" s="202">
        <f>IF(T473&gt;0,VLOOKUP($J473,Ruimtegroepen[],3,FALSE)*VLOOKUP($L473,Vloersoorten[],3,FALSE)*VLOOKUP($S473,Frequenties[],3,FALSE)*VLOOKUP($A473,Locaties[],3,FALSE),0)</f>
        <v>0</v>
      </c>
      <c r="V473" s="202">
        <f>Ruimtestaat[[#This Row],[Uitvoeringen werkdagen]]*Ruimtestaat[[#This Row],[Oppervlak (netto)]]</f>
        <v>9954</v>
      </c>
      <c r="W473" s="242">
        <f>IF(U473&gt;0,Ruimtestaat[[#This Row],[Prest. (m2 /jaar) werkdagen]]/Ruimtestaat[[#This Row],[Norm (m2/uur) werkdagen]],0)</f>
        <v>0</v>
      </c>
      <c r="X473" s="243">
        <f>Ruimtestaat[[#This Row],[uren / jaar werkdagen]]*Tariefsopbouw!$D$38</f>
        <v>0</v>
      </c>
      <c r="Y473" s="33"/>
      <c r="Z473" s="33">
        <f>IF(Ruimtestaat[[#This Row],[Frequentie weekend]]&gt;0,VALUE(LEFT(Y473,1))*R473,0)</f>
        <v>0</v>
      </c>
      <c r="AA473" s="33">
        <f>IF($Z473&gt;0,VLOOKUP($J473,Ruimtegroepen[],3,FALSE)*VLOOKUP($L473,Vloersoorten[],3,FALSE)*VLOOKUP($Y473,Frequenties[],3,FALSE)*VLOOKUP(#REF!,Locaties[],3,FALSE),0)</f>
        <v>0</v>
      </c>
      <c r="AB473" s="33"/>
      <c r="AC473" s="33"/>
      <c r="AD473" s="33">
        <f>Ruimtestaat[[#This Row],[uren / jaar weekend]]*Tariefsopbouw!$D$40</f>
        <v>0</v>
      </c>
      <c r="AE473" s="86">
        <f>Ruimtestaat[[#This Row],[Prest. (m2 /jaar) weekend]]+Ruimtestaat[[#This Row],[Prest. (m2 /jaar) werkdagen]]</f>
        <v>9954</v>
      </c>
      <c r="AF473" s="86">
        <f>Ruimtestaat[[#This Row],[uren / jaar weekend]]+Ruimtestaat[[#This Row],[uren / jaar werkdagen]]</f>
        <v>0</v>
      </c>
      <c r="AG473" s="87">
        <f>Ruimtestaat[[#This Row],[kosten / jaar weekend]]+Ruimtestaat[[#This Row],[kosten / jaar werkdagen]]</f>
        <v>0</v>
      </c>
    </row>
    <row r="474" spans="1:33" ht="15" customHeight="1">
      <c r="A474" s="187">
        <v>5</v>
      </c>
      <c r="B474" s="21" t="str">
        <f>VLOOKUP(Ruimtestaat[[#This Row],[Code]],Locaties[#All],2,FALSE)</f>
        <v>Potskamp</v>
      </c>
      <c r="C474" s="231" t="str">
        <f>VLOOKUP(Ruimtestaat[[#This Row],[Code]],Locaties[#All],4,FALSE)</f>
        <v>Potskampstraat 2</v>
      </c>
      <c r="D474" s="231" t="str">
        <f>VLOOKUP(Ruimtestaat[[#This Row],[Code]],Locaties[#All],5,FALSE)</f>
        <v>7573 CC</v>
      </c>
      <c r="E474" s="187" t="str">
        <f>VLOOKUP(Ruimtestaat[[#This Row],[Code]],Locaties[#All],6,FALSE)</f>
        <v>Oldenzaal</v>
      </c>
      <c r="F474" s="232"/>
      <c r="G474" s="187">
        <v>-1</v>
      </c>
      <c r="H474" s="187">
        <v>23</v>
      </c>
      <c r="I474" s="232" t="s">
        <v>590</v>
      </c>
      <c r="J474" s="187">
        <v>2</v>
      </c>
      <c r="K474" s="187" t="str">
        <f>VLOOKUP(Ruimtestaat[[#This Row],[Ruimte code]],Ruimtegroepen[#All],2,FALSE)</f>
        <v>Kantoren/kantoortuin</v>
      </c>
      <c r="L474" s="231" t="s">
        <v>1204</v>
      </c>
      <c r="M474" s="187" t="s">
        <v>1205</v>
      </c>
      <c r="N474" s="200">
        <v>24.4</v>
      </c>
      <c r="O474" s="200"/>
      <c r="P474" s="231" t="str">
        <f>VLOOKUP(Ruimtestaat[[#This Row],[Ruimte code]],Ruimtegroepen[#All],4,FALSE)</f>
        <v>B  (Bureauruimte)</v>
      </c>
      <c r="Q474" s="201"/>
      <c r="R474" s="202">
        <v>42</v>
      </c>
      <c r="S474" s="202" t="s">
        <v>2</v>
      </c>
      <c r="T474" s="202">
        <f>IF(R474&gt;0,IF(RIGHT(Ruimtestaat[[#This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74" s="202">
        <f>IF(T474&gt;0,VLOOKUP($J474,Ruimtegroepen[],3,FALSE)*VLOOKUP($L474,Vloersoorten[],3,FALSE)*VLOOKUP($S474,Frequenties[],3,FALSE)*VLOOKUP($A474,Locaties[],3,FALSE),0)</f>
        <v>0</v>
      </c>
      <c r="V474" s="202">
        <f>Ruimtestaat[[#This Row],[Uitvoeringen werkdagen]]*Ruimtestaat[[#This Row],[Oppervlak (netto)]]</f>
        <v>5124</v>
      </c>
      <c r="W474" s="242">
        <f>IF(U474&gt;0,Ruimtestaat[[#This Row],[Prest. (m2 /jaar) werkdagen]]/Ruimtestaat[[#This Row],[Norm (m2/uur) werkdagen]],0)</f>
        <v>0</v>
      </c>
      <c r="X474" s="243">
        <f>Ruimtestaat[[#This Row],[uren / jaar werkdagen]]*Tariefsopbouw!$D$38</f>
        <v>0</v>
      </c>
      <c r="Y474" s="33"/>
      <c r="Z474" s="33">
        <f>IF(Ruimtestaat[[#This Row],[Frequentie weekend]]&gt;0,VALUE(LEFT(Y474,1))*R474,0)</f>
        <v>0</v>
      </c>
      <c r="AA474" s="33">
        <f>IF($Z474&gt;0,VLOOKUP($J474,Ruimtegroepen[],3,FALSE)*VLOOKUP($L474,Vloersoorten[],3,FALSE)*VLOOKUP($Y474,Frequenties[],3,FALSE)*VLOOKUP(#REF!,Locaties[],3,FALSE),0)</f>
        <v>0</v>
      </c>
      <c r="AB474" s="33"/>
      <c r="AC474" s="33"/>
      <c r="AD474" s="33">
        <f>Ruimtestaat[[#This Row],[uren / jaar weekend]]*Tariefsopbouw!$D$40</f>
        <v>0</v>
      </c>
      <c r="AE474" s="86">
        <f>Ruimtestaat[[#This Row],[Prest. (m2 /jaar) weekend]]+Ruimtestaat[[#This Row],[Prest. (m2 /jaar) werkdagen]]</f>
        <v>5124</v>
      </c>
      <c r="AF474" s="86">
        <f>Ruimtestaat[[#This Row],[uren / jaar weekend]]+Ruimtestaat[[#This Row],[uren / jaar werkdagen]]</f>
        <v>0</v>
      </c>
      <c r="AG474" s="87">
        <f>Ruimtestaat[[#This Row],[kosten / jaar weekend]]+Ruimtestaat[[#This Row],[kosten / jaar werkdagen]]</f>
        <v>0</v>
      </c>
    </row>
    <row r="475" spans="1:33" ht="15" customHeight="1">
      <c r="A475" s="187">
        <v>5</v>
      </c>
      <c r="B475" s="21" t="str">
        <f>VLOOKUP(Ruimtestaat[[#This Row],[Code]],Locaties[#All],2,FALSE)</f>
        <v>Potskamp</v>
      </c>
      <c r="C475" s="231" t="str">
        <f>VLOOKUP(Ruimtestaat[[#This Row],[Code]],Locaties[#All],4,FALSE)</f>
        <v>Potskampstraat 2</v>
      </c>
      <c r="D475" s="231" t="str">
        <f>VLOOKUP(Ruimtestaat[[#This Row],[Code]],Locaties[#All],5,FALSE)</f>
        <v>7573 CC</v>
      </c>
      <c r="E475" s="187" t="str">
        <f>VLOOKUP(Ruimtestaat[[#This Row],[Code]],Locaties[#All],6,FALSE)</f>
        <v>Oldenzaal</v>
      </c>
      <c r="F475" s="232"/>
      <c r="G475" s="187">
        <v>-1</v>
      </c>
      <c r="H475" s="187">
        <v>24</v>
      </c>
      <c r="I475" s="232" t="s">
        <v>590</v>
      </c>
      <c r="J475" s="187">
        <v>2</v>
      </c>
      <c r="K475" s="187" t="str">
        <f>VLOOKUP(Ruimtestaat[[#This Row],[Ruimte code]],Ruimtegroepen[#All],2,FALSE)</f>
        <v>Kantoren/kantoortuin</v>
      </c>
      <c r="L475" s="231" t="s">
        <v>1204</v>
      </c>
      <c r="M475" s="187" t="s">
        <v>1205</v>
      </c>
      <c r="N475" s="200">
        <v>24.1</v>
      </c>
      <c r="O475" s="200"/>
      <c r="P475" s="231" t="str">
        <f>VLOOKUP(Ruimtestaat[[#This Row],[Ruimte code]],Ruimtegroepen[#All],4,FALSE)</f>
        <v>B  (Bureauruimte)</v>
      </c>
      <c r="Q475" s="201"/>
      <c r="R475" s="202">
        <v>42</v>
      </c>
      <c r="S475" s="202" t="s">
        <v>2</v>
      </c>
      <c r="T475" s="202">
        <f>IF(R475&gt;0,IF(RIGHT(Ruimtestaat[[#This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75" s="202">
        <f>IF(T475&gt;0,VLOOKUP($J475,Ruimtegroepen[],3,FALSE)*VLOOKUP($L475,Vloersoorten[],3,FALSE)*VLOOKUP($S475,Frequenties[],3,FALSE)*VLOOKUP($A475,Locaties[],3,FALSE),0)</f>
        <v>0</v>
      </c>
      <c r="V475" s="202">
        <f>Ruimtestaat[[#This Row],[Uitvoeringen werkdagen]]*Ruimtestaat[[#This Row],[Oppervlak (netto)]]</f>
        <v>5061</v>
      </c>
      <c r="W475" s="242">
        <f>IF(U475&gt;0,Ruimtestaat[[#This Row],[Prest. (m2 /jaar) werkdagen]]/Ruimtestaat[[#This Row],[Norm (m2/uur) werkdagen]],0)</f>
        <v>0</v>
      </c>
      <c r="X475" s="243">
        <f>Ruimtestaat[[#This Row],[uren / jaar werkdagen]]*Tariefsopbouw!$D$38</f>
        <v>0</v>
      </c>
      <c r="Y475" s="33"/>
      <c r="Z475" s="33">
        <f>IF(Ruimtestaat[[#This Row],[Frequentie weekend]]&gt;0,VALUE(LEFT(Y475,1))*R475,0)</f>
        <v>0</v>
      </c>
      <c r="AA475" s="33">
        <f>IF($Z475&gt;0,VLOOKUP($J475,Ruimtegroepen[],3,FALSE)*VLOOKUP($L475,Vloersoorten[],3,FALSE)*VLOOKUP($Y475,Frequenties[],3,FALSE)*VLOOKUP(#REF!,Locaties[],3,FALSE),0)</f>
        <v>0</v>
      </c>
      <c r="AB475" s="33"/>
      <c r="AC475" s="33"/>
      <c r="AD475" s="33">
        <f>Ruimtestaat[[#This Row],[uren / jaar weekend]]*Tariefsopbouw!$D$40</f>
        <v>0</v>
      </c>
      <c r="AE475" s="86">
        <f>Ruimtestaat[[#This Row],[Prest. (m2 /jaar) weekend]]+Ruimtestaat[[#This Row],[Prest. (m2 /jaar) werkdagen]]</f>
        <v>5061</v>
      </c>
      <c r="AF475" s="86">
        <f>Ruimtestaat[[#This Row],[uren / jaar weekend]]+Ruimtestaat[[#This Row],[uren / jaar werkdagen]]</f>
        <v>0</v>
      </c>
      <c r="AG475" s="87">
        <f>Ruimtestaat[[#This Row],[kosten / jaar weekend]]+Ruimtestaat[[#This Row],[kosten / jaar werkdagen]]</f>
        <v>0</v>
      </c>
    </row>
    <row r="476" spans="1:33" ht="15" customHeight="1">
      <c r="A476" s="187">
        <v>5</v>
      </c>
      <c r="B476" s="21" t="str">
        <f>VLOOKUP(Ruimtestaat[[#This Row],[Code]],Locaties[#All],2,FALSE)</f>
        <v>Potskamp</v>
      </c>
      <c r="C476" s="231" t="str">
        <f>VLOOKUP(Ruimtestaat[[#This Row],[Code]],Locaties[#All],4,FALSE)</f>
        <v>Potskampstraat 2</v>
      </c>
      <c r="D476" s="231" t="str">
        <f>VLOOKUP(Ruimtestaat[[#This Row],[Code]],Locaties[#All],5,FALSE)</f>
        <v>7573 CC</v>
      </c>
      <c r="E476" s="187" t="str">
        <f>VLOOKUP(Ruimtestaat[[#This Row],[Code]],Locaties[#All],6,FALSE)</f>
        <v>Oldenzaal</v>
      </c>
      <c r="F476" s="232"/>
      <c r="G476" s="187">
        <v>-1</v>
      </c>
      <c r="H476" s="187">
        <v>27</v>
      </c>
      <c r="I476" s="232" t="s">
        <v>590</v>
      </c>
      <c r="J476" s="187">
        <v>2</v>
      </c>
      <c r="K476" s="187" t="str">
        <f>VLOOKUP(Ruimtestaat[[#This Row],[Ruimte code]],Ruimtegroepen[#All],2,FALSE)</f>
        <v>Kantoren/kantoortuin</v>
      </c>
      <c r="L476" s="231" t="s">
        <v>1204</v>
      </c>
      <c r="M476" s="187" t="s">
        <v>1205</v>
      </c>
      <c r="N476" s="200">
        <v>24.1</v>
      </c>
      <c r="O476" s="200"/>
      <c r="P476" s="231" t="str">
        <f>VLOOKUP(Ruimtestaat[[#This Row],[Ruimte code]],Ruimtegroepen[#All],4,FALSE)</f>
        <v>B  (Bureauruimte)</v>
      </c>
      <c r="Q476" s="201"/>
      <c r="R476" s="202">
        <v>42</v>
      </c>
      <c r="S476" s="202" t="s">
        <v>2</v>
      </c>
      <c r="T476" s="202">
        <f>IF(R476&gt;0,IF(RIGHT(Ruimtestaat[[#This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76" s="202">
        <f>IF(T476&gt;0,VLOOKUP($J476,Ruimtegroepen[],3,FALSE)*VLOOKUP($L476,Vloersoorten[],3,FALSE)*VLOOKUP($S476,Frequenties[],3,FALSE)*VLOOKUP($A476,Locaties[],3,FALSE),0)</f>
        <v>0</v>
      </c>
      <c r="V476" s="202">
        <f>Ruimtestaat[[#This Row],[Uitvoeringen werkdagen]]*Ruimtestaat[[#This Row],[Oppervlak (netto)]]</f>
        <v>5061</v>
      </c>
      <c r="W476" s="242">
        <f>IF(U476&gt;0,Ruimtestaat[[#This Row],[Prest. (m2 /jaar) werkdagen]]/Ruimtestaat[[#This Row],[Norm (m2/uur) werkdagen]],0)</f>
        <v>0</v>
      </c>
      <c r="X476" s="243">
        <f>Ruimtestaat[[#This Row],[uren / jaar werkdagen]]*Tariefsopbouw!$D$38</f>
        <v>0</v>
      </c>
      <c r="Y476" s="33"/>
      <c r="Z476" s="33">
        <f>IF(Ruimtestaat[[#This Row],[Frequentie weekend]]&gt;0,VALUE(LEFT(Y476,1))*R476,0)</f>
        <v>0</v>
      </c>
      <c r="AA476" s="33">
        <f>IF($Z476&gt;0,VLOOKUP($J476,Ruimtegroepen[],3,FALSE)*VLOOKUP($L476,Vloersoorten[],3,FALSE)*VLOOKUP($Y476,Frequenties[],3,FALSE)*VLOOKUP(#REF!,Locaties[],3,FALSE),0)</f>
        <v>0</v>
      </c>
      <c r="AB476" s="33"/>
      <c r="AC476" s="33"/>
      <c r="AD476" s="33">
        <f>Ruimtestaat[[#This Row],[uren / jaar weekend]]*Tariefsopbouw!$D$40</f>
        <v>0</v>
      </c>
      <c r="AE476" s="86">
        <f>Ruimtestaat[[#This Row],[Prest. (m2 /jaar) weekend]]+Ruimtestaat[[#This Row],[Prest. (m2 /jaar) werkdagen]]</f>
        <v>5061</v>
      </c>
      <c r="AF476" s="86">
        <f>Ruimtestaat[[#This Row],[uren / jaar weekend]]+Ruimtestaat[[#This Row],[uren / jaar werkdagen]]</f>
        <v>0</v>
      </c>
      <c r="AG476" s="87">
        <f>Ruimtestaat[[#This Row],[kosten / jaar weekend]]+Ruimtestaat[[#This Row],[kosten / jaar werkdagen]]</f>
        <v>0</v>
      </c>
    </row>
    <row r="477" spans="1:33" ht="15" customHeight="1">
      <c r="A477" s="187">
        <v>5</v>
      </c>
      <c r="B477" s="21" t="str">
        <f>VLOOKUP(Ruimtestaat[[#This Row],[Code]],Locaties[#All],2,FALSE)</f>
        <v>Potskamp</v>
      </c>
      <c r="C477" s="231" t="str">
        <f>VLOOKUP(Ruimtestaat[[#This Row],[Code]],Locaties[#All],4,FALSE)</f>
        <v>Potskampstraat 2</v>
      </c>
      <c r="D477" s="231" t="str">
        <f>VLOOKUP(Ruimtestaat[[#This Row],[Code]],Locaties[#All],5,FALSE)</f>
        <v>7573 CC</v>
      </c>
      <c r="E477" s="187" t="str">
        <f>VLOOKUP(Ruimtestaat[[#This Row],[Code]],Locaties[#All],6,FALSE)</f>
        <v>Oldenzaal</v>
      </c>
      <c r="F477" s="232"/>
      <c r="G477" s="187">
        <v>-1</v>
      </c>
      <c r="H477" s="187"/>
      <c r="I477" s="232" t="s">
        <v>250</v>
      </c>
      <c r="J477" s="187">
        <v>11</v>
      </c>
      <c r="K477" s="187" t="str">
        <f>VLOOKUP(Ruimtestaat[[#This Row],[Ruimte code]],Ruimtegroepen[#All],2,FALSE)</f>
        <v>Garderobes/kluisjesruimte</v>
      </c>
      <c r="L477" s="187" t="s">
        <v>109</v>
      </c>
      <c r="M477" s="187" t="s">
        <v>1203</v>
      </c>
      <c r="N477" s="200">
        <v>6.6</v>
      </c>
      <c r="O477" s="200"/>
      <c r="P477" s="231" t="str">
        <f>VLOOKUP(Ruimtestaat[[#This Row],[Ruimte code]],Ruimtegroepen[#All],4,FALSE)</f>
        <v>V  (Verkeersruimte)</v>
      </c>
      <c r="Q477" s="201"/>
      <c r="R477" s="202">
        <v>42</v>
      </c>
      <c r="S477" s="202" t="s">
        <v>2</v>
      </c>
      <c r="T477" s="202">
        <f>IF(R477&gt;0,IF(RIGHT(Ruimtestaat[[#This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77" s="202">
        <f>IF(T477&gt;0,VLOOKUP($J477,Ruimtegroepen[],3,FALSE)*VLOOKUP($L477,Vloersoorten[],3,FALSE)*VLOOKUP($S477,Frequenties[],3,FALSE)*VLOOKUP($A477,Locaties[],3,FALSE),0)</f>
        <v>0</v>
      </c>
      <c r="V477" s="202">
        <f>Ruimtestaat[[#This Row],[Uitvoeringen werkdagen]]*Ruimtestaat[[#This Row],[Oppervlak (netto)]]</f>
        <v>1386</v>
      </c>
      <c r="W477" s="242">
        <f>IF(U477&gt;0,Ruimtestaat[[#This Row],[Prest. (m2 /jaar) werkdagen]]/Ruimtestaat[[#This Row],[Norm (m2/uur) werkdagen]],0)</f>
        <v>0</v>
      </c>
      <c r="X477" s="243">
        <f>Ruimtestaat[[#This Row],[uren / jaar werkdagen]]*Tariefsopbouw!$D$38</f>
        <v>0</v>
      </c>
      <c r="Y477" s="33"/>
      <c r="Z477" s="33">
        <f>IF(Ruimtestaat[[#This Row],[Frequentie weekend]]&gt;0,VALUE(LEFT(Y477,1))*R477,0)</f>
        <v>0</v>
      </c>
      <c r="AA477" s="33">
        <f>IF($Z477&gt;0,VLOOKUP($J477,Ruimtegroepen[],3,FALSE)*VLOOKUP($L477,Vloersoorten[],3,FALSE)*VLOOKUP($Y477,Frequenties[],3,FALSE)*VLOOKUP(#REF!,Locaties[],3,FALSE),0)</f>
        <v>0</v>
      </c>
      <c r="AB477" s="33"/>
      <c r="AC477" s="33"/>
      <c r="AD477" s="33">
        <f>Ruimtestaat[[#This Row],[uren / jaar weekend]]*Tariefsopbouw!$D$40</f>
        <v>0</v>
      </c>
      <c r="AE477" s="86">
        <f>Ruimtestaat[[#This Row],[Prest. (m2 /jaar) weekend]]+Ruimtestaat[[#This Row],[Prest. (m2 /jaar) werkdagen]]</f>
        <v>1386</v>
      </c>
      <c r="AF477" s="86">
        <f>Ruimtestaat[[#This Row],[uren / jaar weekend]]+Ruimtestaat[[#This Row],[uren / jaar werkdagen]]</f>
        <v>0</v>
      </c>
      <c r="AG477" s="87">
        <f>Ruimtestaat[[#This Row],[kosten / jaar weekend]]+Ruimtestaat[[#This Row],[kosten / jaar werkdagen]]</f>
        <v>0</v>
      </c>
    </row>
    <row r="478" spans="1:33" ht="15" customHeight="1">
      <c r="A478" s="187">
        <v>5</v>
      </c>
      <c r="B478" s="21" t="str">
        <f>VLOOKUP(Ruimtestaat[[#This Row],[Code]],Locaties[#All],2,FALSE)</f>
        <v>Potskamp</v>
      </c>
      <c r="C478" s="231" t="str">
        <f>VLOOKUP(Ruimtestaat[[#This Row],[Code]],Locaties[#All],4,FALSE)</f>
        <v>Potskampstraat 2</v>
      </c>
      <c r="D478" s="231" t="str">
        <f>VLOOKUP(Ruimtestaat[[#This Row],[Code]],Locaties[#All],5,FALSE)</f>
        <v>7573 CC</v>
      </c>
      <c r="E478" s="187" t="str">
        <f>VLOOKUP(Ruimtestaat[[#This Row],[Code]],Locaties[#All],6,FALSE)</f>
        <v>Oldenzaal</v>
      </c>
      <c r="F478" s="232"/>
      <c r="G478" s="187" t="s">
        <v>679</v>
      </c>
      <c r="H478" s="187"/>
      <c r="I478" s="232" t="s">
        <v>698</v>
      </c>
      <c r="J478" s="231">
        <v>5</v>
      </c>
      <c r="K478" s="231" t="str">
        <f>VLOOKUP(Ruimtestaat[[#This Row],[Ruimte code]],Ruimtegroepen[#All],2,FALSE)</f>
        <v>Sanitair</v>
      </c>
      <c r="L478" s="202" t="s">
        <v>108</v>
      </c>
      <c r="M478" s="187" t="s">
        <v>1201</v>
      </c>
      <c r="N478" s="200">
        <v>6</v>
      </c>
      <c r="O478" s="200"/>
      <c r="P478" s="231" t="str">
        <f>VLOOKUP(Ruimtestaat[[#This Row],[Ruimte code]],Ruimtegroepen[#All],4,FALSE)</f>
        <v>S  (Sanitair)</v>
      </c>
      <c r="Q478" s="201"/>
      <c r="R478" s="202">
        <v>42</v>
      </c>
      <c r="S478" s="202" t="s">
        <v>19</v>
      </c>
      <c r="T478" s="202">
        <f>IF(R478&gt;0,IF(RIGHT(Ruimtestaat[[#This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478" s="202">
        <f>IF(T478&gt;0,VLOOKUP($J478,Ruimtegroepen[],3,FALSE)*VLOOKUP($L478,Vloersoorten[],3,FALSE)*VLOOKUP($S478,Frequenties[],3,FALSE)*VLOOKUP($A478,Locaties[],3,FALSE),0)</f>
        <v>0</v>
      </c>
      <c r="V478" s="202">
        <f>Ruimtestaat[[#This Row],[Uitvoeringen werkdagen]]*Ruimtestaat[[#This Row],[Oppervlak (netto)]]</f>
        <v>2520</v>
      </c>
      <c r="W478" s="242">
        <f>IF(U478&gt;0,Ruimtestaat[[#This Row],[Prest. (m2 /jaar) werkdagen]]/Ruimtestaat[[#This Row],[Norm (m2/uur) werkdagen]],0)</f>
        <v>0</v>
      </c>
      <c r="X478" s="243">
        <f>Ruimtestaat[[#This Row],[uren / jaar werkdagen]]*Tariefsopbouw!$D$38</f>
        <v>0</v>
      </c>
      <c r="Y478" s="33"/>
      <c r="Z478" s="33">
        <f>IF(Ruimtestaat[[#This Row],[Frequentie weekend]]&gt;0,VALUE(LEFT(Y478,1))*R478,0)</f>
        <v>0</v>
      </c>
      <c r="AA478" s="33">
        <f>IF($Z478&gt;0,VLOOKUP($J478,Ruimtegroepen[],3,FALSE)*VLOOKUP($L478,Vloersoorten[],3,FALSE)*VLOOKUP($Y478,Frequenties[],3,FALSE)*VLOOKUP(#REF!,Locaties[],3,FALSE),0)</f>
        <v>0</v>
      </c>
      <c r="AB478" s="33"/>
      <c r="AC478" s="33"/>
      <c r="AD478" s="33">
        <f>Ruimtestaat[[#This Row],[uren / jaar weekend]]*Tariefsopbouw!$D$40</f>
        <v>0</v>
      </c>
      <c r="AE478" s="86">
        <f>Ruimtestaat[[#This Row],[Prest. (m2 /jaar) weekend]]+Ruimtestaat[[#This Row],[Prest. (m2 /jaar) werkdagen]]</f>
        <v>2520</v>
      </c>
      <c r="AF478" s="86">
        <f>Ruimtestaat[[#This Row],[uren / jaar weekend]]+Ruimtestaat[[#This Row],[uren / jaar werkdagen]]</f>
        <v>0</v>
      </c>
      <c r="AG478" s="87">
        <f>Ruimtestaat[[#This Row],[kosten / jaar weekend]]+Ruimtestaat[[#This Row],[kosten / jaar werkdagen]]</f>
        <v>0</v>
      </c>
    </row>
    <row r="479" spans="1:33" ht="15" customHeight="1">
      <c r="A479" s="187">
        <v>5</v>
      </c>
      <c r="B479" s="21" t="str">
        <f>VLOOKUP(Ruimtestaat[[#This Row],[Code]],Locaties[#All],2,FALSE)</f>
        <v>Potskamp</v>
      </c>
      <c r="C479" s="231" t="str">
        <f>VLOOKUP(Ruimtestaat[[#This Row],[Code]],Locaties[#All],4,FALSE)</f>
        <v>Potskampstraat 2</v>
      </c>
      <c r="D479" s="231" t="str">
        <f>VLOOKUP(Ruimtestaat[[#This Row],[Code]],Locaties[#All],5,FALSE)</f>
        <v>7573 CC</v>
      </c>
      <c r="E479" s="187" t="str">
        <f>VLOOKUP(Ruimtestaat[[#This Row],[Code]],Locaties[#All],6,FALSE)</f>
        <v>Oldenzaal</v>
      </c>
      <c r="F479" s="232"/>
      <c r="G479" s="187" t="s">
        <v>679</v>
      </c>
      <c r="H479" s="187"/>
      <c r="I479" s="232" t="s">
        <v>609</v>
      </c>
      <c r="J479" s="187">
        <v>12</v>
      </c>
      <c r="K479" s="187" t="str">
        <f>VLOOKUP(Ruimtestaat[[#This Row],[Ruimte code]],Ruimtegroepen[#All],2,FALSE)</f>
        <v>Kantine/aula</v>
      </c>
      <c r="L479" s="231" t="s">
        <v>677</v>
      </c>
      <c r="M479" s="187" t="s">
        <v>1200</v>
      </c>
      <c r="N479" s="200">
        <v>550</v>
      </c>
      <c r="O479" s="200"/>
      <c r="P479" s="231" t="str">
        <f>VLOOKUP(Ruimtestaat[[#This Row],[Ruimte code]],Ruimtegroepen[#All],4,FALSE)</f>
        <v>V  (Verkeersruimte)</v>
      </c>
      <c r="Q479" s="201"/>
      <c r="R479" s="202">
        <v>42</v>
      </c>
      <c r="S479" s="202" t="s">
        <v>2</v>
      </c>
      <c r="T479" s="202">
        <f>IF(R479&gt;0,IF(RIGHT(Ruimtestaat[[#This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79" s="202">
        <f>IF(T479&gt;0,VLOOKUP($J479,Ruimtegroepen[],3,FALSE)*VLOOKUP($L479,Vloersoorten[],3,FALSE)*VLOOKUP($S479,Frequenties[],3,FALSE)*VLOOKUP($A479,Locaties[],3,FALSE),0)</f>
        <v>0</v>
      </c>
      <c r="V479" s="202">
        <f>Ruimtestaat[[#This Row],[Uitvoeringen werkdagen]]*Ruimtestaat[[#This Row],[Oppervlak (netto)]]</f>
        <v>115500</v>
      </c>
      <c r="W479" s="242">
        <f>IF(U479&gt;0,Ruimtestaat[[#This Row],[Prest. (m2 /jaar) werkdagen]]/Ruimtestaat[[#This Row],[Norm (m2/uur) werkdagen]],0)</f>
        <v>0</v>
      </c>
      <c r="X479" s="243">
        <f>Ruimtestaat[[#This Row],[uren / jaar werkdagen]]*Tariefsopbouw!$D$38</f>
        <v>0</v>
      </c>
      <c r="Y479" s="33"/>
      <c r="Z479" s="33">
        <f>IF(Ruimtestaat[[#This Row],[Frequentie weekend]]&gt;0,VALUE(LEFT(Y479,1))*R479,0)</f>
        <v>0</v>
      </c>
      <c r="AA479" s="33">
        <f>IF($Z479&gt;0,VLOOKUP($J479,Ruimtegroepen[],3,FALSE)*VLOOKUP($L479,Vloersoorten[],3,FALSE)*VLOOKUP($Y479,Frequenties[],3,FALSE)*VLOOKUP(#REF!,Locaties[],3,FALSE),0)</f>
        <v>0</v>
      </c>
      <c r="AB479" s="33"/>
      <c r="AC479" s="33"/>
      <c r="AD479" s="33">
        <f>Ruimtestaat[[#This Row],[uren / jaar weekend]]*Tariefsopbouw!$D$40</f>
        <v>0</v>
      </c>
      <c r="AE479" s="86">
        <f>Ruimtestaat[[#This Row],[Prest. (m2 /jaar) weekend]]+Ruimtestaat[[#This Row],[Prest. (m2 /jaar) werkdagen]]</f>
        <v>115500</v>
      </c>
      <c r="AF479" s="86">
        <f>Ruimtestaat[[#This Row],[uren / jaar weekend]]+Ruimtestaat[[#This Row],[uren / jaar werkdagen]]</f>
        <v>0</v>
      </c>
      <c r="AG479" s="87">
        <f>Ruimtestaat[[#This Row],[kosten / jaar weekend]]+Ruimtestaat[[#This Row],[kosten / jaar werkdagen]]</f>
        <v>0</v>
      </c>
    </row>
    <row r="480" spans="1:33" ht="15" customHeight="1">
      <c r="A480" s="187">
        <v>5</v>
      </c>
      <c r="B480" s="21" t="str">
        <f>VLOOKUP(Ruimtestaat[[#This Row],[Code]],Locaties[#All],2,FALSE)</f>
        <v>Potskamp</v>
      </c>
      <c r="C480" s="231" t="str">
        <f>VLOOKUP(Ruimtestaat[[#This Row],[Code]],Locaties[#All],4,FALSE)</f>
        <v>Potskampstraat 2</v>
      </c>
      <c r="D480" s="231" t="str">
        <f>VLOOKUP(Ruimtestaat[[#This Row],[Code]],Locaties[#All],5,FALSE)</f>
        <v>7573 CC</v>
      </c>
      <c r="E480" s="187" t="str">
        <f>VLOOKUP(Ruimtestaat[[#This Row],[Code]],Locaties[#All],6,FALSE)</f>
        <v>Oldenzaal</v>
      </c>
      <c r="F480" s="232"/>
      <c r="G480" s="187" t="s">
        <v>679</v>
      </c>
      <c r="H480" s="187"/>
      <c r="I480" s="232" t="s">
        <v>746</v>
      </c>
      <c r="J480" s="187">
        <v>12</v>
      </c>
      <c r="K480" s="187" t="str">
        <f>VLOOKUP(Ruimtestaat[[#This Row],[Ruimte code]],Ruimtegroepen[#All],2,FALSE)</f>
        <v>Kantine/aula</v>
      </c>
      <c r="L480" s="231" t="s">
        <v>677</v>
      </c>
      <c r="M480" s="187" t="s">
        <v>1200</v>
      </c>
      <c r="N480" s="200">
        <v>95</v>
      </c>
      <c r="O480" s="200"/>
      <c r="P480" s="231" t="str">
        <f>VLOOKUP(Ruimtestaat[[#This Row],[Ruimte code]],Ruimtegroepen[#All],4,FALSE)</f>
        <v>V  (Verkeersruimte)</v>
      </c>
      <c r="Q480" s="201"/>
      <c r="R480" s="202">
        <v>42</v>
      </c>
      <c r="S480" s="202" t="s">
        <v>15</v>
      </c>
      <c r="T480" s="202">
        <f>IF(R480&gt;0,IF(RIGHT(Ruimtestaat[[#This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480" s="202">
        <f>IF(T480&gt;0,VLOOKUP($J480,Ruimtegroepen[],3,FALSE)*VLOOKUP($L480,Vloersoorten[],3,FALSE)*VLOOKUP($S480,Frequenties[],3,FALSE)*VLOOKUP($A480,Locaties[],3,FALSE),0)</f>
        <v>0</v>
      </c>
      <c r="V480" s="202">
        <f>Ruimtestaat[[#This Row],[Uitvoeringen werkdagen]]*Ruimtestaat[[#This Row],[Oppervlak (netto)]]</f>
        <v>3990</v>
      </c>
      <c r="W480" s="242">
        <f>IF(U480&gt;0,Ruimtestaat[[#This Row],[Prest. (m2 /jaar) werkdagen]]/Ruimtestaat[[#This Row],[Norm (m2/uur) werkdagen]],0)</f>
        <v>0</v>
      </c>
      <c r="X480" s="243">
        <f>Ruimtestaat[[#This Row],[uren / jaar werkdagen]]*Tariefsopbouw!$D$38</f>
        <v>0</v>
      </c>
      <c r="Y480" s="33"/>
      <c r="Z480" s="33">
        <f>IF(Ruimtestaat[[#This Row],[Frequentie weekend]]&gt;0,VALUE(LEFT(Y480,1))*R480,0)</f>
        <v>0</v>
      </c>
      <c r="AA480" s="33">
        <f>IF($Z480&gt;0,VLOOKUP($J480,Ruimtegroepen[],3,FALSE)*VLOOKUP($L480,Vloersoorten[],3,FALSE)*VLOOKUP($Y480,Frequenties[],3,FALSE)*VLOOKUP(#REF!,Locaties[],3,FALSE),0)</f>
        <v>0</v>
      </c>
      <c r="AB480" s="33"/>
      <c r="AC480" s="33"/>
      <c r="AD480" s="33">
        <f>Ruimtestaat[[#This Row],[uren / jaar weekend]]*Tariefsopbouw!$D$40</f>
        <v>0</v>
      </c>
      <c r="AE480" s="86">
        <f>Ruimtestaat[[#This Row],[Prest. (m2 /jaar) weekend]]+Ruimtestaat[[#This Row],[Prest. (m2 /jaar) werkdagen]]</f>
        <v>3990</v>
      </c>
      <c r="AF480" s="86">
        <f>Ruimtestaat[[#This Row],[uren / jaar weekend]]+Ruimtestaat[[#This Row],[uren / jaar werkdagen]]</f>
        <v>0</v>
      </c>
      <c r="AG480" s="87">
        <f>Ruimtestaat[[#This Row],[kosten / jaar weekend]]+Ruimtestaat[[#This Row],[kosten / jaar werkdagen]]</f>
        <v>0</v>
      </c>
    </row>
    <row r="481" spans="1:33" ht="15" customHeight="1">
      <c r="A481" s="187">
        <v>5</v>
      </c>
      <c r="B481" s="21" t="str">
        <f>VLOOKUP(Ruimtestaat[[#This Row],[Code]],Locaties[#All],2,FALSE)</f>
        <v>Potskamp</v>
      </c>
      <c r="C481" s="231" t="str">
        <f>VLOOKUP(Ruimtestaat[[#This Row],[Code]],Locaties[#All],4,FALSE)</f>
        <v>Potskampstraat 2</v>
      </c>
      <c r="D481" s="231" t="str">
        <f>VLOOKUP(Ruimtestaat[[#This Row],[Code]],Locaties[#All],5,FALSE)</f>
        <v>7573 CC</v>
      </c>
      <c r="E481" s="187" t="str">
        <f>VLOOKUP(Ruimtestaat[[#This Row],[Code]],Locaties[#All],6,FALSE)</f>
        <v>Oldenzaal</v>
      </c>
      <c r="F481" s="232"/>
      <c r="G481" s="187" t="s">
        <v>679</v>
      </c>
      <c r="H481" s="187"/>
      <c r="I481" s="232" t="s">
        <v>747</v>
      </c>
      <c r="J481" s="187">
        <v>7</v>
      </c>
      <c r="K481" s="187" t="str">
        <f>VLOOKUP(Ruimtestaat[[#This Row],[Ruimte code]],Ruimtegroepen[#All],2,FALSE)</f>
        <v>Entree / buitenentree</v>
      </c>
      <c r="L481" s="202" t="s">
        <v>108</v>
      </c>
      <c r="M481" s="187" t="s">
        <v>1211</v>
      </c>
      <c r="N481" s="200">
        <v>366</v>
      </c>
      <c r="O481" s="200"/>
      <c r="P481" s="231" t="str">
        <f>VLOOKUP(Ruimtestaat[[#This Row],[Ruimte code]],Ruimtegroepen[#All],4,FALSE)</f>
        <v>V  (Verkeersruimte)</v>
      </c>
      <c r="Q481" s="201"/>
      <c r="R481" s="202">
        <v>42</v>
      </c>
      <c r="S481" s="202" t="s">
        <v>2</v>
      </c>
      <c r="T481" s="202">
        <f>IF(R481&gt;0,IF(RIGHT(Ruimtestaat[[#This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81" s="202">
        <f>IF(T481&gt;0,VLOOKUP($J481,Ruimtegroepen[],3,FALSE)*VLOOKUP($L481,Vloersoorten[],3,FALSE)*VLOOKUP($S481,Frequenties[],3,FALSE)*VLOOKUP($A481,Locaties[],3,FALSE),0)</f>
        <v>0</v>
      </c>
      <c r="V481" s="202">
        <f>Ruimtestaat[[#This Row],[Uitvoeringen werkdagen]]*Ruimtestaat[[#This Row],[Oppervlak (netto)]]</f>
        <v>76860</v>
      </c>
      <c r="W481" s="242">
        <f>IF(U481&gt;0,Ruimtestaat[[#This Row],[Prest. (m2 /jaar) werkdagen]]/Ruimtestaat[[#This Row],[Norm (m2/uur) werkdagen]],0)</f>
        <v>0</v>
      </c>
      <c r="X481" s="243">
        <f>Ruimtestaat[[#This Row],[uren / jaar werkdagen]]*Tariefsopbouw!$D$38</f>
        <v>0</v>
      </c>
      <c r="Y481" s="33"/>
      <c r="Z481" s="33">
        <f>IF(Ruimtestaat[[#This Row],[Frequentie weekend]]&gt;0,VALUE(LEFT(Y481,1))*R481,0)</f>
        <v>0</v>
      </c>
      <c r="AA481" s="33">
        <f>IF($Z481&gt;0,VLOOKUP($J481,Ruimtegroepen[],3,FALSE)*VLOOKUP($L481,Vloersoorten[],3,FALSE)*VLOOKUP($Y481,Frequenties[],3,FALSE)*VLOOKUP(#REF!,Locaties[],3,FALSE),0)</f>
        <v>0</v>
      </c>
      <c r="AB481" s="33"/>
      <c r="AC481" s="33"/>
      <c r="AD481" s="33">
        <f>Ruimtestaat[[#This Row],[uren / jaar weekend]]*Tariefsopbouw!$D$40</f>
        <v>0</v>
      </c>
      <c r="AE481" s="86">
        <f>Ruimtestaat[[#This Row],[Prest. (m2 /jaar) weekend]]+Ruimtestaat[[#This Row],[Prest. (m2 /jaar) werkdagen]]</f>
        <v>76860</v>
      </c>
      <c r="AF481" s="86">
        <f>Ruimtestaat[[#This Row],[uren / jaar weekend]]+Ruimtestaat[[#This Row],[uren / jaar werkdagen]]</f>
        <v>0</v>
      </c>
      <c r="AG481" s="87">
        <f>Ruimtestaat[[#This Row],[kosten / jaar weekend]]+Ruimtestaat[[#This Row],[kosten / jaar werkdagen]]</f>
        <v>0</v>
      </c>
    </row>
    <row r="482" spans="1:33" ht="15" customHeight="1">
      <c r="A482" s="187">
        <v>5</v>
      </c>
      <c r="B482" s="21" t="str">
        <f>VLOOKUP(Ruimtestaat[[#This Row],[Code]],Locaties[#All],2,FALSE)</f>
        <v>Potskamp</v>
      </c>
      <c r="C482" s="231" t="str">
        <f>VLOOKUP(Ruimtestaat[[#This Row],[Code]],Locaties[#All],4,FALSE)</f>
        <v>Potskampstraat 2</v>
      </c>
      <c r="D482" s="231" t="str">
        <f>VLOOKUP(Ruimtestaat[[#This Row],[Code]],Locaties[#All],5,FALSE)</f>
        <v>7573 CC</v>
      </c>
      <c r="E482" s="187" t="str">
        <f>VLOOKUP(Ruimtestaat[[#This Row],[Code]],Locaties[#All],6,FALSE)</f>
        <v>Oldenzaal</v>
      </c>
      <c r="F482" s="232"/>
      <c r="G482" s="187" t="s">
        <v>679</v>
      </c>
      <c r="H482" s="187"/>
      <c r="I482" s="232" t="s">
        <v>748</v>
      </c>
      <c r="J482" s="187">
        <v>7</v>
      </c>
      <c r="K482" s="187" t="str">
        <f>VLOOKUP(Ruimtestaat[[#This Row],[Ruimte code]],Ruimtegroepen[#All],2,FALSE)</f>
        <v>Entree / buitenentree</v>
      </c>
      <c r="L482" s="231" t="s">
        <v>1204</v>
      </c>
      <c r="M482" s="187" t="s">
        <v>1205</v>
      </c>
      <c r="N482" s="200">
        <v>22</v>
      </c>
      <c r="O482" s="200"/>
      <c r="P482" s="231" t="str">
        <f>VLOOKUP(Ruimtestaat[[#This Row],[Ruimte code]],Ruimtegroepen[#All],4,FALSE)</f>
        <v>V  (Verkeersruimte)</v>
      </c>
      <c r="Q482" s="201"/>
      <c r="R482" s="202">
        <v>42</v>
      </c>
      <c r="S482" s="202" t="s">
        <v>2</v>
      </c>
      <c r="T482" s="202">
        <f>IF(R482&gt;0,IF(RIGHT(Ruimtestaat[[#This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82" s="202">
        <f>IF(T482&gt;0,VLOOKUP($J482,Ruimtegroepen[],3,FALSE)*VLOOKUP($L482,Vloersoorten[],3,FALSE)*VLOOKUP($S482,Frequenties[],3,FALSE)*VLOOKUP($A482,Locaties[],3,FALSE),0)</f>
        <v>0</v>
      </c>
      <c r="V482" s="202">
        <f>Ruimtestaat[[#This Row],[Uitvoeringen werkdagen]]*Ruimtestaat[[#This Row],[Oppervlak (netto)]]</f>
        <v>4620</v>
      </c>
      <c r="W482" s="242">
        <f>IF(U482&gt;0,Ruimtestaat[[#This Row],[Prest. (m2 /jaar) werkdagen]]/Ruimtestaat[[#This Row],[Norm (m2/uur) werkdagen]],0)</f>
        <v>0</v>
      </c>
      <c r="X482" s="243">
        <f>Ruimtestaat[[#This Row],[uren / jaar werkdagen]]*Tariefsopbouw!$D$38</f>
        <v>0</v>
      </c>
      <c r="Y482" s="33"/>
      <c r="Z482" s="33">
        <f>IF(Ruimtestaat[[#This Row],[Frequentie weekend]]&gt;0,VALUE(LEFT(Y482,1))*R482,0)</f>
        <v>0</v>
      </c>
      <c r="AA482" s="33">
        <f>IF($Z482&gt;0,VLOOKUP($J482,Ruimtegroepen[],3,FALSE)*VLOOKUP($L482,Vloersoorten[],3,FALSE)*VLOOKUP($Y482,Frequenties[],3,FALSE)*VLOOKUP(#REF!,Locaties[],3,FALSE),0)</f>
        <v>0</v>
      </c>
      <c r="AB482" s="33"/>
      <c r="AC482" s="33"/>
      <c r="AD482" s="33">
        <f>Ruimtestaat[[#This Row],[uren / jaar weekend]]*Tariefsopbouw!$D$40</f>
        <v>0</v>
      </c>
      <c r="AE482" s="86">
        <f>Ruimtestaat[[#This Row],[Prest. (m2 /jaar) weekend]]+Ruimtestaat[[#This Row],[Prest. (m2 /jaar) werkdagen]]</f>
        <v>4620</v>
      </c>
      <c r="AF482" s="86">
        <f>Ruimtestaat[[#This Row],[uren / jaar weekend]]+Ruimtestaat[[#This Row],[uren / jaar werkdagen]]</f>
        <v>0</v>
      </c>
      <c r="AG482" s="87">
        <f>Ruimtestaat[[#This Row],[kosten / jaar weekend]]+Ruimtestaat[[#This Row],[kosten / jaar werkdagen]]</f>
        <v>0</v>
      </c>
    </row>
    <row r="483" spans="1:33" ht="15" customHeight="1">
      <c r="A483" s="187">
        <v>5</v>
      </c>
      <c r="B483" s="21" t="str">
        <f>VLOOKUP(Ruimtestaat[[#This Row],[Code]],Locaties[#All],2,FALSE)</f>
        <v>Potskamp</v>
      </c>
      <c r="C483" s="231" t="str">
        <f>VLOOKUP(Ruimtestaat[[#This Row],[Code]],Locaties[#All],4,FALSE)</f>
        <v>Potskampstraat 2</v>
      </c>
      <c r="D483" s="231" t="str">
        <f>VLOOKUP(Ruimtestaat[[#This Row],[Code]],Locaties[#All],5,FALSE)</f>
        <v>7573 CC</v>
      </c>
      <c r="E483" s="187" t="str">
        <f>VLOOKUP(Ruimtestaat[[#This Row],[Code]],Locaties[#All],6,FALSE)</f>
        <v>Oldenzaal</v>
      </c>
      <c r="F483" s="232"/>
      <c r="G483" s="187" t="s">
        <v>679</v>
      </c>
      <c r="H483" s="187"/>
      <c r="I483" s="232" t="s">
        <v>500</v>
      </c>
      <c r="J483" s="187">
        <v>10</v>
      </c>
      <c r="K483" s="187" t="str">
        <f>VLOOKUP(Ruimtestaat[[#This Row],[Ruimte code]],Ruimtegroepen[#All],2,FALSE)</f>
        <v>Trappenhuizen/lift</v>
      </c>
      <c r="L483" s="202" t="s">
        <v>108</v>
      </c>
      <c r="M483" s="187" t="s">
        <v>1209</v>
      </c>
      <c r="N483" s="200">
        <v>24</v>
      </c>
      <c r="O483" s="200"/>
      <c r="P483" s="231" t="str">
        <f>VLOOKUP(Ruimtestaat[[#This Row],[Ruimte code]],Ruimtegroepen[#All],4,FALSE)</f>
        <v>V  (Verkeersruimte)</v>
      </c>
      <c r="Q483" s="201"/>
      <c r="R483" s="202">
        <v>42</v>
      </c>
      <c r="S483" s="202" t="s">
        <v>2</v>
      </c>
      <c r="T483" s="202">
        <f>IF(R483&gt;0,IF(RIGHT(Ruimtestaat[[#This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83" s="202">
        <f>IF(T483&gt;0,VLOOKUP($J483,Ruimtegroepen[],3,FALSE)*VLOOKUP($L483,Vloersoorten[],3,FALSE)*VLOOKUP($S483,Frequenties[],3,FALSE)*VLOOKUP($A483,Locaties[],3,FALSE),0)</f>
        <v>0</v>
      </c>
      <c r="V483" s="202">
        <f>Ruimtestaat[[#This Row],[Uitvoeringen werkdagen]]*Ruimtestaat[[#This Row],[Oppervlak (netto)]]</f>
        <v>5040</v>
      </c>
      <c r="W483" s="242">
        <f>IF(U483&gt;0,Ruimtestaat[[#This Row],[Prest. (m2 /jaar) werkdagen]]/Ruimtestaat[[#This Row],[Norm (m2/uur) werkdagen]],0)</f>
        <v>0</v>
      </c>
      <c r="X483" s="243">
        <f>Ruimtestaat[[#This Row],[uren / jaar werkdagen]]*Tariefsopbouw!$D$38</f>
        <v>0</v>
      </c>
      <c r="Y483" s="33"/>
      <c r="Z483" s="33">
        <f>IF(Ruimtestaat[[#This Row],[Frequentie weekend]]&gt;0,VALUE(LEFT(Y483,1))*R483,0)</f>
        <v>0</v>
      </c>
      <c r="AA483" s="33">
        <f>IF($Z483&gt;0,VLOOKUP($J483,Ruimtegroepen[],3,FALSE)*VLOOKUP($L483,Vloersoorten[],3,FALSE)*VLOOKUP($Y483,Frequenties[],3,FALSE)*VLOOKUP(#REF!,Locaties[],3,FALSE),0)</f>
        <v>0</v>
      </c>
      <c r="AB483" s="33"/>
      <c r="AC483" s="33"/>
      <c r="AD483" s="33">
        <f>Ruimtestaat[[#This Row],[uren / jaar weekend]]*Tariefsopbouw!$D$40</f>
        <v>0</v>
      </c>
      <c r="AE483" s="86">
        <f>Ruimtestaat[[#This Row],[Prest. (m2 /jaar) weekend]]+Ruimtestaat[[#This Row],[Prest. (m2 /jaar) werkdagen]]</f>
        <v>5040</v>
      </c>
      <c r="AF483" s="86">
        <f>Ruimtestaat[[#This Row],[uren / jaar weekend]]+Ruimtestaat[[#This Row],[uren / jaar werkdagen]]</f>
        <v>0</v>
      </c>
      <c r="AG483" s="87">
        <f>Ruimtestaat[[#This Row],[kosten / jaar weekend]]+Ruimtestaat[[#This Row],[kosten / jaar werkdagen]]</f>
        <v>0</v>
      </c>
    </row>
    <row r="484" spans="1:33" ht="15" customHeight="1">
      <c r="A484" s="187">
        <v>5</v>
      </c>
      <c r="B484" s="21" t="str">
        <f>VLOOKUP(Ruimtestaat[[#This Row],[Code]],Locaties[#All],2,FALSE)</f>
        <v>Potskamp</v>
      </c>
      <c r="C484" s="231" t="str">
        <f>VLOOKUP(Ruimtestaat[[#This Row],[Code]],Locaties[#All],4,FALSE)</f>
        <v>Potskampstraat 2</v>
      </c>
      <c r="D484" s="231" t="str">
        <f>VLOOKUP(Ruimtestaat[[#This Row],[Code]],Locaties[#All],5,FALSE)</f>
        <v>7573 CC</v>
      </c>
      <c r="E484" s="187" t="str">
        <f>VLOOKUP(Ruimtestaat[[#This Row],[Code]],Locaties[#All],6,FALSE)</f>
        <v>Oldenzaal</v>
      </c>
      <c r="F484" s="232"/>
      <c r="G484" s="187" t="s">
        <v>679</v>
      </c>
      <c r="H484" s="187">
        <v>109</v>
      </c>
      <c r="I484" s="232" t="s">
        <v>643</v>
      </c>
      <c r="J484" s="187">
        <v>9</v>
      </c>
      <c r="K484" s="187" t="str">
        <f>VLOOKUP(Ruimtestaat[[#This Row],[Ruimte code]],Ruimtegroepen[#All],2,FALSE)</f>
        <v>Bibliotheek / OLC</v>
      </c>
      <c r="L484" s="231" t="s">
        <v>1204</v>
      </c>
      <c r="M484" s="187" t="s">
        <v>1205</v>
      </c>
      <c r="N484" s="200">
        <v>137</v>
      </c>
      <c r="O484" s="200"/>
      <c r="P484" s="231" t="str">
        <f>VLOOKUP(Ruimtestaat[[#This Row],[Ruimte code]],Ruimtegroepen[#All],4,FALSE)</f>
        <v>L  (Lesruimte)</v>
      </c>
      <c r="Q484" s="201"/>
      <c r="R484" s="202">
        <v>42</v>
      </c>
      <c r="S484" s="202" t="s">
        <v>2</v>
      </c>
      <c r="T484" s="202">
        <f>IF(R484&gt;0,IF(RIGHT(Ruimtestaat[[#This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84" s="202">
        <f>IF(T484&gt;0,VLOOKUP($J484,Ruimtegroepen[],3,FALSE)*VLOOKUP($L484,Vloersoorten[],3,FALSE)*VLOOKUP($S484,Frequenties[],3,FALSE)*VLOOKUP($A484,Locaties[],3,FALSE),0)</f>
        <v>0</v>
      </c>
      <c r="V484" s="202">
        <f>Ruimtestaat[[#This Row],[Uitvoeringen werkdagen]]*Ruimtestaat[[#This Row],[Oppervlak (netto)]]</f>
        <v>28770</v>
      </c>
      <c r="W484" s="242">
        <f>IF(U484&gt;0,Ruimtestaat[[#This Row],[Prest. (m2 /jaar) werkdagen]]/Ruimtestaat[[#This Row],[Norm (m2/uur) werkdagen]],0)</f>
        <v>0</v>
      </c>
      <c r="X484" s="243">
        <f>Ruimtestaat[[#This Row],[uren / jaar werkdagen]]*Tariefsopbouw!$D$38</f>
        <v>0</v>
      </c>
      <c r="Y484" s="33"/>
      <c r="Z484" s="33">
        <f>IF(Ruimtestaat[[#This Row],[Frequentie weekend]]&gt;0,VALUE(LEFT(Y484,1))*R484,0)</f>
        <v>0</v>
      </c>
      <c r="AA484" s="33">
        <f>IF($Z484&gt;0,VLOOKUP($J484,Ruimtegroepen[],3,FALSE)*VLOOKUP($L484,Vloersoorten[],3,FALSE)*VLOOKUP($Y484,Frequenties[],3,FALSE)*VLOOKUP(#REF!,Locaties[],3,FALSE),0)</f>
        <v>0</v>
      </c>
      <c r="AB484" s="33"/>
      <c r="AC484" s="33"/>
      <c r="AD484" s="33">
        <f>Ruimtestaat[[#This Row],[uren / jaar weekend]]*Tariefsopbouw!$D$40</f>
        <v>0</v>
      </c>
      <c r="AE484" s="86">
        <f>Ruimtestaat[[#This Row],[Prest. (m2 /jaar) weekend]]+Ruimtestaat[[#This Row],[Prest. (m2 /jaar) werkdagen]]</f>
        <v>28770</v>
      </c>
      <c r="AF484" s="86">
        <f>Ruimtestaat[[#This Row],[uren / jaar weekend]]+Ruimtestaat[[#This Row],[uren / jaar werkdagen]]</f>
        <v>0</v>
      </c>
      <c r="AG484" s="87">
        <f>Ruimtestaat[[#This Row],[kosten / jaar weekend]]+Ruimtestaat[[#This Row],[kosten / jaar werkdagen]]</f>
        <v>0</v>
      </c>
    </row>
    <row r="485" spans="1:33" ht="15" customHeight="1">
      <c r="A485" s="187">
        <v>5</v>
      </c>
      <c r="B485" s="21" t="str">
        <f>VLOOKUP(Ruimtestaat[[#This Row],[Code]],Locaties[#All],2,FALSE)</f>
        <v>Potskamp</v>
      </c>
      <c r="C485" s="231" t="str">
        <f>VLOOKUP(Ruimtestaat[[#This Row],[Code]],Locaties[#All],4,FALSE)</f>
        <v>Potskampstraat 2</v>
      </c>
      <c r="D485" s="231" t="str">
        <f>VLOOKUP(Ruimtestaat[[#This Row],[Code]],Locaties[#All],5,FALSE)</f>
        <v>7573 CC</v>
      </c>
      <c r="E485" s="187" t="str">
        <f>VLOOKUP(Ruimtestaat[[#This Row],[Code]],Locaties[#All],6,FALSE)</f>
        <v>Oldenzaal</v>
      </c>
      <c r="F485" s="232"/>
      <c r="G485" s="187" t="s">
        <v>679</v>
      </c>
      <c r="H485" s="187"/>
      <c r="I485" s="232" t="s">
        <v>596</v>
      </c>
      <c r="J485" s="187">
        <v>10</v>
      </c>
      <c r="K485" s="187" t="str">
        <f>VLOOKUP(Ruimtestaat[[#This Row],[Ruimte code]],Ruimtegroepen[#All],2,FALSE)</f>
        <v>Trappenhuizen/lift</v>
      </c>
      <c r="L485" s="202" t="s">
        <v>108</v>
      </c>
      <c r="M485" s="187" t="s">
        <v>1209</v>
      </c>
      <c r="N485" s="200">
        <v>38</v>
      </c>
      <c r="O485" s="200"/>
      <c r="P485" s="231" t="str">
        <f>VLOOKUP(Ruimtestaat[[#This Row],[Ruimte code]],Ruimtegroepen[#All],4,FALSE)</f>
        <v>V  (Verkeersruimte)</v>
      </c>
      <c r="Q485" s="201"/>
      <c r="R485" s="202">
        <v>42</v>
      </c>
      <c r="S485" s="202" t="s">
        <v>2</v>
      </c>
      <c r="T485" s="202">
        <f>IF(R485&gt;0,IF(RIGHT(Ruimtestaat[[#This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85" s="202">
        <f>IF(T485&gt;0,VLOOKUP($J485,Ruimtegroepen[],3,FALSE)*VLOOKUP($L485,Vloersoorten[],3,FALSE)*VLOOKUP($S485,Frequenties[],3,FALSE)*VLOOKUP($A485,Locaties[],3,FALSE),0)</f>
        <v>0</v>
      </c>
      <c r="V485" s="202">
        <f>Ruimtestaat[[#This Row],[Uitvoeringen werkdagen]]*Ruimtestaat[[#This Row],[Oppervlak (netto)]]</f>
        <v>7980</v>
      </c>
      <c r="W485" s="242">
        <f>IF(U485&gt;0,Ruimtestaat[[#This Row],[Prest. (m2 /jaar) werkdagen]]/Ruimtestaat[[#This Row],[Norm (m2/uur) werkdagen]],0)</f>
        <v>0</v>
      </c>
      <c r="X485" s="243">
        <f>Ruimtestaat[[#This Row],[uren / jaar werkdagen]]*Tariefsopbouw!$D$38</f>
        <v>0</v>
      </c>
      <c r="Y485" s="33"/>
      <c r="Z485" s="33">
        <f>IF(Ruimtestaat[[#This Row],[Frequentie weekend]]&gt;0,VALUE(LEFT(Y485,1))*R485,0)</f>
        <v>0</v>
      </c>
      <c r="AA485" s="33">
        <f>IF($Z485&gt;0,VLOOKUP($J485,Ruimtegroepen[],3,FALSE)*VLOOKUP($L485,Vloersoorten[],3,FALSE)*VLOOKUP($Y485,Frequenties[],3,FALSE)*VLOOKUP(#REF!,Locaties[],3,FALSE),0)</f>
        <v>0</v>
      </c>
      <c r="AB485" s="33"/>
      <c r="AC485" s="33"/>
      <c r="AD485" s="33">
        <f>Ruimtestaat[[#This Row],[uren / jaar weekend]]*Tariefsopbouw!$D$40</f>
        <v>0</v>
      </c>
      <c r="AE485" s="86">
        <f>Ruimtestaat[[#This Row],[Prest. (m2 /jaar) weekend]]+Ruimtestaat[[#This Row],[Prest. (m2 /jaar) werkdagen]]</f>
        <v>7980</v>
      </c>
      <c r="AF485" s="86">
        <f>Ruimtestaat[[#This Row],[uren / jaar weekend]]+Ruimtestaat[[#This Row],[uren / jaar werkdagen]]</f>
        <v>0</v>
      </c>
      <c r="AG485" s="87">
        <f>Ruimtestaat[[#This Row],[kosten / jaar weekend]]+Ruimtestaat[[#This Row],[kosten / jaar werkdagen]]</f>
        <v>0</v>
      </c>
    </row>
    <row r="486" spans="1:33" ht="15" customHeight="1">
      <c r="A486" s="187">
        <v>5</v>
      </c>
      <c r="B486" s="21" t="str">
        <f>VLOOKUP(Ruimtestaat[[#This Row],[Code]],Locaties[#All],2,FALSE)</f>
        <v>Potskamp</v>
      </c>
      <c r="C486" s="231" t="str">
        <f>VLOOKUP(Ruimtestaat[[#This Row],[Code]],Locaties[#All],4,FALSE)</f>
        <v>Potskampstraat 2</v>
      </c>
      <c r="D486" s="231" t="str">
        <f>VLOOKUP(Ruimtestaat[[#This Row],[Code]],Locaties[#All],5,FALSE)</f>
        <v>7573 CC</v>
      </c>
      <c r="E486" s="187" t="str">
        <f>VLOOKUP(Ruimtestaat[[#This Row],[Code]],Locaties[#All],6,FALSE)</f>
        <v>Oldenzaal</v>
      </c>
      <c r="F486" s="232"/>
      <c r="G486" s="187" t="s">
        <v>679</v>
      </c>
      <c r="H486" s="187"/>
      <c r="I486" s="232" t="s">
        <v>596</v>
      </c>
      <c r="J486" s="187">
        <v>10</v>
      </c>
      <c r="K486" s="187" t="str">
        <f>VLOOKUP(Ruimtestaat[[#This Row],[Ruimte code]],Ruimtegroepen[#All],2,FALSE)</f>
        <v>Trappenhuizen/lift</v>
      </c>
      <c r="L486" s="202" t="s">
        <v>108</v>
      </c>
      <c r="M486" s="187" t="s">
        <v>1209</v>
      </c>
      <c r="N486" s="200">
        <v>18</v>
      </c>
      <c r="O486" s="200"/>
      <c r="P486" s="231" t="str">
        <f>VLOOKUP(Ruimtestaat[[#This Row],[Ruimte code]],Ruimtegroepen[#All],4,FALSE)</f>
        <v>V  (Verkeersruimte)</v>
      </c>
      <c r="Q486" s="201"/>
      <c r="R486" s="202">
        <v>42</v>
      </c>
      <c r="S486" s="202" t="s">
        <v>2</v>
      </c>
      <c r="T486" s="202">
        <f>IF(R486&gt;0,IF(RIGHT(Ruimtestaat[[#This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86" s="202">
        <f>IF(T486&gt;0,VLOOKUP($J486,Ruimtegroepen[],3,FALSE)*VLOOKUP($L486,Vloersoorten[],3,FALSE)*VLOOKUP($S486,Frequenties[],3,FALSE)*VLOOKUP($A486,Locaties[],3,FALSE),0)</f>
        <v>0</v>
      </c>
      <c r="V486" s="202">
        <f>Ruimtestaat[[#This Row],[Uitvoeringen werkdagen]]*Ruimtestaat[[#This Row],[Oppervlak (netto)]]</f>
        <v>3780</v>
      </c>
      <c r="W486" s="242">
        <f>IF(U486&gt;0,Ruimtestaat[[#This Row],[Prest. (m2 /jaar) werkdagen]]/Ruimtestaat[[#This Row],[Norm (m2/uur) werkdagen]],0)</f>
        <v>0</v>
      </c>
      <c r="X486" s="243">
        <f>Ruimtestaat[[#This Row],[uren / jaar werkdagen]]*Tariefsopbouw!$D$38</f>
        <v>0</v>
      </c>
      <c r="Y486" s="33"/>
      <c r="Z486" s="33">
        <f>IF(Ruimtestaat[[#This Row],[Frequentie weekend]]&gt;0,VALUE(LEFT(Y486,1))*R486,0)</f>
        <v>0</v>
      </c>
      <c r="AA486" s="33">
        <f>IF($Z486&gt;0,VLOOKUP($J486,Ruimtegroepen[],3,FALSE)*VLOOKUP($L486,Vloersoorten[],3,FALSE)*VLOOKUP($Y486,Frequenties[],3,FALSE)*VLOOKUP(#REF!,Locaties[],3,FALSE),0)</f>
        <v>0</v>
      </c>
      <c r="AB486" s="33"/>
      <c r="AC486" s="33"/>
      <c r="AD486" s="33">
        <f>Ruimtestaat[[#This Row],[uren / jaar weekend]]*Tariefsopbouw!$D$40</f>
        <v>0</v>
      </c>
      <c r="AE486" s="86">
        <f>Ruimtestaat[[#This Row],[Prest. (m2 /jaar) weekend]]+Ruimtestaat[[#This Row],[Prest. (m2 /jaar) werkdagen]]</f>
        <v>3780</v>
      </c>
      <c r="AF486" s="86">
        <f>Ruimtestaat[[#This Row],[uren / jaar weekend]]+Ruimtestaat[[#This Row],[uren / jaar werkdagen]]</f>
        <v>0</v>
      </c>
      <c r="AG486" s="87">
        <f>Ruimtestaat[[#This Row],[kosten / jaar weekend]]+Ruimtestaat[[#This Row],[kosten / jaar werkdagen]]</f>
        <v>0</v>
      </c>
    </row>
    <row r="487" spans="1:33" ht="15" customHeight="1">
      <c r="A487" s="187">
        <v>5</v>
      </c>
      <c r="B487" s="21" t="str">
        <f>VLOOKUP(Ruimtestaat[[#This Row],[Code]],Locaties[#All],2,FALSE)</f>
        <v>Potskamp</v>
      </c>
      <c r="C487" s="231" t="str">
        <f>VLOOKUP(Ruimtestaat[[#This Row],[Code]],Locaties[#All],4,FALSE)</f>
        <v>Potskampstraat 2</v>
      </c>
      <c r="D487" s="231" t="str">
        <f>VLOOKUP(Ruimtestaat[[#This Row],[Code]],Locaties[#All],5,FALSE)</f>
        <v>7573 CC</v>
      </c>
      <c r="E487" s="187" t="str">
        <f>VLOOKUP(Ruimtestaat[[#This Row],[Code]],Locaties[#All],6,FALSE)</f>
        <v>Oldenzaal</v>
      </c>
      <c r="F487" s="232"/>
      <c r="G487" s="187" t="s">
        <v>679</v>
      </c>
      <c r="H487" s="187"/>
      <c r="I487" s="232" t="s">
        <v>749</v>
      </c>
      <c r="J487" s="187">
        <v>10</v>
      </c>
      <c r="K487" s="187" t="str">
        <f>VLOOKUP(Ruimtestaat[[#This Row],[Ruimte code]],Ruimtegroepen[#All],2,FALSE)</f>
        <v>Trappenhuizen/lift</v>
      </c>
      <c r="L487" s="187" t="s">
        <v>109</v>
      </c>
      <c r="M487" s="187" t="s">
        <v>1203</v>
      </c>
      <c r="N487" s="200">
        <v>10</v>
      </c>
      <c r="O487" s="200"/>
      <c r="P487" s="231" t="str">
        <f>VLOOKUP(Ruimtestaat[[#This Row],[Ruimte code]],Ruimtegroepen[#All],4,FALSE)</f>
        <v>V  (Verkeersruimte)</v>
      </c>
      <c r="Q487" s="201"/>
      <c r="R487" s="202">
        <v>42</v>
      </c>
      <c r="S487" s="202" t="s">
        <v>2</v>
      </c>
      <c r="T487" s="202">
        <f>IF(R487&gt;0,IF(RIGHT(Ruimtestaat[[#This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87" s="202">
        <f>IF(T487&gt;0,VLOOKUP($J487,Ruimtegroepen[],3,FALSE)*VLOOKUP($L487,Vloersoorten[],3,FALSE)*VLOOKUP($S487,Frequenties[],3,FALSE)*VLOOKUP($A487,Locaties[],3,FALSE),0)</f>
        <v>0</v>
      </c>
      <c r="V487" s="202">
        <f>Ruimtestaat[[#This Row],[Uitvoeringen werkdagen]]*Ruimtestaat[[#This Row],[Oppervlak (netto)]]</f>
        <v>2100</v>
      </c>
      <c r="W487" s="242">
        <f>IF(U487&gt;0,Ruimtestaat[[#This Row],[Prest. (m2 /jaar) werkdagen]]/Ruimtestaat[[#This Row],[Norm (m2/uur) werkdagen]],0)</f>
        <v>0</v>
      </c>
      <c r="X487" s="243">
        <f>Ruimtestaat[[#This Row],[uren / jaar werkdagen]]*Tariefsopbouw!$D$38</f>
        <v>0</v>
      </c>
      <c r="Y487" s="33"/>
      <c r="Z487" s="33">
        <f>IF(Ruimtestaat[[#This Row],[Frequentie weekend]]&gt;0,VALUE(LEFT(Y487,1))*R487,0)</f>
        <v>0</v>
      </c>
      <c r="AA487" s="33">
        <f>IF($Z487&gt;0,VLOOKUP($J487,Ruimtegroepen[],3,FALSE)*VLOOKUP($L487,Vloersoorten[],3,FALSE)*VLOOKUP($Y487,Frequenties[],3,FALSE)*VLOOKUP(#REF!,Locaties[],3,FALSE),0)</f>
        <v>0</v>
      </c>
      <c r="AB487" s="33"/>
      <c r="AC487" s="33"/>
      <c r="AD487" s="33">
        <f>Ruimtestaat[[#This Row],[uren / jaar weekend]]*Tariefsopbouw!$D$40</f>
        <v>0</v>
      </c>
      <c r="AE487" s="86">
        <f>Ruimtestaat[[#This Row],[Prest. (m2 /jaar) weekend]]+Ruimtestaat[[#This Row],[Prest. (m2 /jaar) werkdagen]]</f>
        <v>2100</v>
      </c>
      <c r="AF487" s="86">
        <f>Ruimtestaat[[#This Row],[uren / jaar weekend]]+Ruimtestaat[[#This Row],[uren / jaar werkdagen]]</f>
        <v>0</v>
      </c>
      <c r="AG487" s="87">
        <f>Ruimtestaat[[#This Row],[kosten / jaar weekend]]+Ruimtestaat[[#This Row],[kosten / jaar werkdagen]]</f>
        <v>0</v>
      </c>
    </row>
    <row r="488" spans="1:33" ht="15" customHeight="1">
      <c r="A488" s="187">
        <v>5</v>
      </c>
      <c r="B488" s="21" t="str">
        <f>VLOOKUP(Ruimtestaat[[#This Row],[Code]],Locaties[#All],2,FALSE)</f>
        <v>Potskamp</v>
      </c>
      <c r="C488" s="231" t="str">
        <f>VLOOKUP(Ruimtestaat[[#This Row],[Code]],Locaties[#All],4,FALSE)</f>
        <v>Potskampstraat 2</v>
      </c>
      <c r="D488" s="231" t="str">
        <f>VLOOKUP(Ruimtestaat[[#This Row],[Code]],Locaties[#All],5,FALSE)</f>
        <v>7573 CC</v>
      </c>
      <c r="E488" s="187" t="str">
        <f>VLOOKUP(Ruimtestaat[[#This Row],[Code]],Locaties[#All],6,FALSE)</f>
        <v>Oldenzaal</v>
      </c>
      <c r="F488" s="232"/>
      <c r="G488" s="187" t="s">
        <v>679</v>
      </c>
      <c r="H488" s="187"/>
      <c r="I488" s="232" t="s">
        <v>372</v>
      </c>
      <c r="J488" s="187">
        <v>6</v>
      </c>
      <c r="K488" s="187" t="str">
        <f>VLOOKUP(Ruimtestaat[[#This Row],[Ruimte code]],Ruimtegroepen[#All],2,FALSE)</f>
        <v>Gangen/hallen</v>
      </c>
      <c r="L488" s="187" t="s">
        <v>109</v>
      </c>
      <c r="M488" s="187" t="s">
        <v>1203</v>
      </c>
      <c r="N488" s="200">
        <v>44</v>
      </c>
      <c r="O488" s="200"/>
      <c r="P488" s="231" t="str">
        <f>VLOOKUP(Ruimtestaat[[#This Row],[Ruimte code]],Ruimtegroepen[#All],4,FALSE)</f>
        <v>V  (Verkeersruimte)</v>
      </c>
      <c r="Q488" s="201"/>
      <c r="R488" s="202">
        <v>42</v>
      </c>
      <c r="S488" s="202" t="s">
        <v>2</v>
      </c>
      <c r="T488" s="202">
        <f>IF(R488&gt;0,IF(RIGHT(Ruimtestaat[[#This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88" s="202">
        <f>IF(T488&gt;0,VLOOKUP($J488,Ruimtegroepen[],3,FALSE)*VLOOKUP($L488,Vloersoorten[],3,FALSE)*VLOOKUP($S488,Frequenties[],3,FALSE)*VLOOKUP($A488,Locaties[],3,FALSE),0)</f>
        <v>0</v>
      </c>
      <c r="V488" s="202">
        <f>Ruimtestaat[[#This Row],[Uitvoeringen werkdagen]]*Ruimtestaat[[#This Row],[Oppervlak (netto)]]</f>
        <v>9240</v>
      </c>
      <c r="W488" s="242">
        <f>IF(U488&gt;0,Ruimtestaat[[#This Row],[Prest. (m2 /jaar) werkdagen]]/Ruimtestaat[[#This Row],[Norm (m2/uur) werkdagen]],0)</f>
        <v>0</v>
      </c>
      <c r="X488" s="243">
        <f>Ruimtestaat[[#This Row],[uren / jaar werkdagen]]*Tariefsopbouw!$D$38</f>
        <v>0</v>
      </c>
      <c r="Y488" s="33"/>
      <c r="Z488" s="33">
        <f>IF(Ruimtestaat[[#This Row],[Frequentie weekend]]&gt;0,VALUE(LEFT(Y488,1))*R488,0)</f>
        <v>0</v>
      </c>
      <c r="AA488" s="33">
        <f>IF($Z488&gt;0,VLOOKUP($J488,Ruimtegroepen[],3,FALSE)*VLOOKUP($L488,Vloersoorten[],3,FALSE)*VLOOKUP($Y488,Frequenties[],3,FALSE)*VLOOKUP(#REF!,Locaties[],3,FALSE),0)</f>
        <v>0</v>
      </c>
      <c r="AB488" s="33"/>
      <c r="AC488" s="33"/>
      <c r="AD488" s="33">
        <f>Ruimtestaat[[#This Row],[uren / jaar weekend]]*Tariefsopbouw!$D$40</f>
        <v>0</v>
      </c>
      <c r="AE488" s="86">
        <f>Ruimtestaat[[#This Row],[Prest. (m2 /jaar) weekend]]+Ruimtestaat[[#This Row],[Prest. (m2 /jaar) werkdagen]]</f>
        <v>9240</v>
      </c>
      <c r="AF488" s="86">
        <f>Ruimtestaat[[#This Row],[uren / jaar weekend]]+Ruimtestaat[[#This Row],[uren / jaar werkdagen]]</f>
        <v>0</v>
      </c>
      <c r="AG488" s="87">
        <f>Ruimtestaat[[#This Row],[kosten / jaar weekend]]+Ruimtestaat[[#This Row],[kosten / jaar werkdagen]]</f>
        <v>0</v>
      </c>
    </row>
    <row r="489" spans="1:33" ht="15" customHeight="1">
      <c r="A489" s="187">
        <v>5</v>
      </c>
      <c r="B489" s="21" t="str">
        <f>VLOOKUP(Ruimtestaat[[#This Row],[Code]],Locaties[#All],2,FALSE)</f>
        <v>Potskamp</v>
      </c>
      <c r="C489" s="231" t="str">
        <f>VLOOKUP(Ruimtestaat[[#This Row],[Code]],Locaties[#All],4,FALSE)</f>
        <v>Potskampstraat 2</v>
      </c>
      <c r="D489" s="231" t="str">
        <f>VLOOKUP(Ruimtestaat[[#This Row],[Code]],Locaties[#All],5,FALSE)</f>
        <v>7573 CC</v>
      </c>
      <c r="E489" s="187" t="str">
        <f>VLOOKUP(Ruimtestaat[[#This Row],[Code]],Locaties[#All],6,FALSE)</f>
        <v>Oldenzaal</v>
      </c>
      <c r="F489" s="232"/>
      <c r="G489" s="187" t="s">
        <v>679</v>
      </c>
      <c r="H489" s="187">
        <v>95</v>
      </c>
      <c r="I489" s="232" t="s">
        <v>590</v>
      </c>
      <c r="J489" s="187">
        <v>2</v>
      </c>
      <c r="K489" s="187" t="str">
        <f>VLOOKUP(Ruimtestaat[[#This Row],[Ruimte code]],Ruimtegroepen[#All],2,FALSE)</f>
        <v>Kantoren/kantoortuin</v>
      </c>
      <c r="L489" s="231" t="s">
        <v>1204</v>
      </c>
      <c r="M489" s="187" t="s">
        <v>1205</v>
      </c>
      <c r="N489" s="200">
        <v>24</v>
      </c>
      <c r="O489" s="200"/>
      <c r="P489" s="231" t="str">
        <f>VLOOKUP(Ruimtestaat[[#This Row],[Ruimte code]],Ruimtegroepen[#All],4,FALSE)</f>
        <v>B  (Bureauruimte)</v>
      </c>
      <c r="Q489" s="201"/>
      <c r="R489" s="202">
        <v>42</v>
      </c>
      <c r="S489" s="202" t="s">
        <v>2</v>
      </c>
      <c r="T489" s="202">
        <f>IF(R489&gt;0,IF(RIGHT(Ruimtestaat[[#This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89" s="202">
        <f>IF(T489&gt;0,VLOOKUP($J489,Ruimtegroepen[],3,FALSE)*VLOOKUP($L489,Vloersoorten[],3,FALSE)*VLOOKUP($S489,Frequenties[],3,FALSE)*VLOOKUP($A489,Locaties[],3,FALSE),0)</f>
        <v>0</v>
      </c>
      <c r="V489" s="202">
        <f>Ruimtestaat[[#This Row],[Uitvoeringen werkdagen]]*Ruimtestaat[[#This Row],[Oppervlak (netto)]]</f>
        <v>5040</v>
      </c>
      <c r="W489" s="242">
        <f>IF(U489&gt;0,Ruimtestaat[[#This Row],[Prest. (m2 /jaar) werkdagen]]/Ruimtestaat[[#This Row],[Norm (m2/uur) werkdagen]],0)</f>
        <v>0</v>
      </c>
      <c r="X489" s="243">
        <f>Ruimtestaat[[#This Row],[uren / jaar werkdagen]]*Tariefsopbouw!$D$38</f>
        <v>0</v>
      </c>
      <c r="Y489" s="33"/>
      <c r="Z489" s="33">
        <f>IF(Ruimtestaat[[#This Row],[Frequentie weekend]]&gt;0,VALUE(LEFT(Y489,1))*R489,0)</f>
        <v>0</v>
      </c>
      <c r="AA489" s="33">
        <f>IF($Z489&gt;0,VLOOKUP($J489,Ruimtegroepen[],3,FALSE)*VLOOKUP($L489,Vloersoorten[],3,FALSE)*VLOOKUP($Y489,Frequenties[],3,FALSE)*VLOOKUP(#REF!,Locaties[],3,FALSE),0)</f>
        <v>0</v>
      </c>
      <c r="AB489" s="33"/>
      <c r="AC489" s="33"/>
      <c r="AD489" s="33">
        <f>Ruimtestaat[[#This Row],[uren / jaar weekend]]*Tariefsopbouw!$D$40</f>
        <v>0</v>
      </c>
      <c r="AE489" s="86">
        <f>Ruimtestaat[[#This Row],[Prest. (m2 /jaar) weekend]]+Ruimtestaat[[#This Row],[Prest. (m2 /jaar) werkdagen]]</f>
        <v>5040</v>
      </c>
      <c r="AF489" s="86">
        <f>Ruimtestaat[[#This Row],[uren / jaar weekend]]+Ruimtestaat[[#This Row],[uren / jaar werkdagen]]</f>
        <v>0</v>
      </c>
      <c r="AG489" s="87">
        <f>Ruimtestaat[[#This Row],[kosten / jaar weekend]]+Ruimtestaat[[#This Row],[kosten / jaar werkdagen]]</f>
        <v>0</v>
      </c>
    </row>
    <row r="490" spans="1:33" ht="15" customHeight="1">
      <c r="A490" s="187">
        <v>5</v>
      </c>
      <c r="B490" s="21" t="str">
        <f>VLOOKUP(Ruimtestaat[[#This Row],[Code]],Locaties[#All],2,FALSE)</f>
        <v>Potskamp</v>
      </c>
      <c r="C490" s="231" t="str">
        <f>VLOOKUP(Ruimtestaat[[#This Row],[Code]],Locaties[#All],4,FALSE)</f>
        <v>Potskampstraat 2</v>
      </c>
      <c r="D490" s="231" t="str">
        <f>VLOOKUP(Ruimtestaat[[#This Row],[Code]],Locaties[#All],5,FALSE)</f>
        <v>7573 CC</v>
      </c>
      <c r="E490" s="187" t="str">
        <f>VLOOKUP(Ruimtestaat[[#This Row],[Code]],Locaties[#All],6,FALSE)</f>
        <v>Oldenzaal</v>
      </c>
      <c r="F490" s="232"/>
      <c r="G490" s="187" t="s">
        <v>679</v>
      </c>
      <c r="H490" s="187">
        <v>94</v>
      </c>
      <c r="I490" s="232" t="s">
        <v>750</v>
      </c>
      <c r="J490" s="187">
        <v>16</v>
      </c>
      <c r="K490" s="187" t="str">
        <f>VLOOKUP(Ruimtestaat[[#This Row],[Ruimte code]],Ruimtegroepen[#All],2,FALSE)</f>
        <v>Leslokalen/computerlokaal</v>
      </c>
      <c r="L490" s="231" t="s">
        <v>1204</v>
      </c>
      <c r="M490" s="187" t="s">
        <v>1205</v>
      </c>
      <c r="N490" s="200">
        <v>104</v>
      </c>
      <c r="O490" s="200"/>
      <c r="P490" s="231" t="str">
        <f>VLOOKUP(Ruimtestaat[[#This Row],[Ruimte code]],Ruimtegroepen[#All],4,FALSE)</f>
        <v>L  (Lesruimte)</v>
      </c>
      <c r="Q490" s="201"/>
      <c r="R490" s="202">
        <v>42</v>
      </c>
      <c r="S490" s="202" t="s">
        <v>2</v>
      </c>
      <c r="T490" s="202">
        <f>IF(R490&gt;0,IF(RIGHT(Ruimtestaat[[#This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90" s="202">
        <f>IF(T490&gt;0,VLOOKUP($J490,Ruimtegroepen[],3,FALSE)*VLOOKUP($L490,Vloersoorten[],3,FALSE)*VLOOKUP($S490,Frequenties[],3,FALSE)*VLOOKUP($A490,Locaties[],3,FALSE),0)</f>
        <v>0</v>
      </c>
      <c r="V490" s="202">
        <f>Ruimtestaat[[#This Row],[Uitvoeringen werkdagen]]*Ruimtestaat[[#This Row],[Oppervlak (netto)]]</f>
        <v>21840</v>
      </c>
      <c r="W490" s="242">
        <f>IF(U490&gt;0,Ruimtestaat[[#This Row],[Prest. (m2 /jaar) werkdagen]]/Ruimtestaat[[#This Row],[Norm (m2/uur) werkdagen]],0)</f>
        <v>0</v>
      </c>
      <c r="X490" s="243">
        <f>Ruimtestaat[[#This Row],[uren / jaar werkdagen]]*Tariefsopbouw!$D$38</f>
        <v>0</v>
      </c>
      <c r="Y490" s="33"/>
      <c r="Z490" s="33">
        <f>IF(Ruimtestaat[[#This Row],[Frequentie weekend]]&gt;0,VALUE(LEFT(Y490,1))*R490,0)</f>
        <v>0</v>
      </c>
      <c r="AA490" s="33">
        <f>IF($Z490&gt;0,VLOOKUP($J490,Ruimtegroepen[],3,FALSE)*VLOOKUP($L490,Vloersoorten[],3,FALSE)*VLOOKUP($Y490,Frequenties[],3,FALSE)*VLOOKUP(#REF!,Locaties[],3,FALSE),0)</f>
        <v>0</v>
      </c>
      <c r="AB490" s="33"/>
      <c r="AC490" s="33"/>
      <c r="AD490" s="33">
        <f>Ruimtestaat[[#This Row],[uren / jaar weekend]]*Tariefsopbouw!$D$40</f>
        <v>0</v>
      </c>
      <c r="AE490" s="86">
        <f>Ruimtestaat[[#This Row],[Prest. (m2 /jaar) weekend]]+Ruimtestaat[[#This Row],[Prest. (m2 /jaar) werkdagen]]</f>
        <v>21840</v>
      </c>
      <c r="AF490" s="86">
        <f>Ruimtestaat[[#This Row],[uren / jaar weekend]]+Ruimtestaat[[#This Row],[uren / jaar werkdagen]]</f>
        <v>0</v>
      </c>
      <c r="AG490" s="87">
        <f>Ruimtestaat[[#This Row],[kosten / jaar weekend]]+Ruimtestaat[[#This Row],[kosten / jaar werkdagen]]</f>
        <v>0</v>
      </c>
    </row>
    <row r="491" spans="1:33" ht="15" customHeight="1">
      <c r="A491" s="187">
        <v>5</v>
      </c>
      <c r="B491" s="21" t="str">
        <f>VLOOKUP(Ruimtestaat[[#This Row],[Code]],Locaties[#All],2,FALSE)</f>
        <v>Potskamp</v>
      </c>
      <c r="C491" s="231" t="str">
        <f>VLOOKUP(Ruimtestaat[[#This Row],[Code]],Locaties[#All],4,FALSE)</f>
        <v>Potskampstraat 2</v>
      </c>
      <c r="D491" s="231" t="str">
        <f>VLOOKUP(Ruimtestaat[[#This Row],[Code]],Locaties[#All],5,FALSE)</f>
        <v>7573 CC</v>
      </c>
      <c r="E491" s="187" t="str">
        <f>VLOOKUP(Ruimtestaat[[#This Row],[Code]],Locaties[#All],6,FALSE)</f>
        <v>Oldenzaal</v>
      </c>
      <c r="F491" s="232"/>
      <c r="G491" s="187" t="s">
        <v>679</v>
      </c>
      <c r="H491" s="187">
        <v>93</v>
      </c>
      <c r="I491" s="232" t="s">
        <v>751</v>
      </c>
      <c r="J491" s="187">
        <v>14</v>
      </c>
      <c r="K491" s="187" t="str">
        <f>VLOOKUP(Ruimtestaat[[#This Row],[Ruimte code]],Ruimtegroepen[#All],2,FALSE)</f>
        <v>Praktijklokalen/kabinet</v>
      </c>
      <c r="L491" s="187" t="s">
        <v>109</v>
      </c>
      <c r="M491" s="187" t="s">
        <v>1203</v>
      </c>
      <c r="N491" s="200">
        <v>104</v>
      </c>
      <c r="O491" s="200"/>
      <c r="P491" s="231" t="str">
        <f>VLOOKUP(Ruimtestaat[[#This Row],[Ruimte code]],Ruimtegroepen[#All],4,FALSE)</f>
        <v>L  (Lesruimte)</v>
      </c>
      <c r="Q491" s="201"/>
      <c r="R491" s="202">
        <v>42</v>
      </c>
      <c r="S491" s="202" t="s">
        <v>2</v>
      </c>
      <c r="T491" s="202">
        <f>IF(R491&gt;0,IF(RIGHT(Ruimtestaat[[#This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91" s="202">
        <f>IF(T491&gt;0,VLOOKUP($J491,Ruimtegroepen[],3,FALSE)*VLOOKUP($L491,Vloersoorten[],3,FALSE)*VLOOKUP($S491,Frequenties[],3,FALSE)*VLOOKUP($A491,Locaties[],3,FALSE),0)</f>
        <v>0</v>
      </c>
      <c r="V491" s="202">
        <f>Ruimtestaat[[#This Row],[Uitvoeringen werkdagen]]*Ruimtestaat[[#This Row],[Oppervlak (netto)]]</f>
        <v>21840</v>
      </c>
      <c r="W491" s="242">
        <f>IF(U491&gt;0,Ruimtestaat[[#This Row],[Prest. (m2 /jaar) werkdagen]]/Ruimtestaat[[#This Row],[Norm (m2/uur) werkdagen]],0)</f>
        <v>0</v>
      </c>
      <c r="X491" s="243">
        <f>Ruimtestaat[[#This Row],[uren / jaar werkdagen]]*Tariefsopbouw!$D$38</f>
        <v>0</v>
      </c>
      <c r="Y491" s="33"/>
      <c r="Z491" s="33">
        <f>IF(Ruimtestaat[[#This Row],[Frequentie weekend]]&gt;0,VALUE(LEFT(Y491,1))*R491,0)</f>
        <v>0</v>
      </c>
      <c r="AA491" s="33">
        <f>IF($Z491&gt;0,VLOOKUP($J491,Ruimtegroepen[],3,FALSE)*VLOOKUP($L491,Vloersoorten[],3,FALSE)*VLOOKUP($Y491,Frequenties[],3,FALSE)*VLOOKUP(#REF!,Locaties[],3,FALSE),0)</f>
        <v>0</v>
      </c>
      <c r="AB491" s="33"/>
      <c r="AC491" s="33"/>
      <c r="AD491" s="33">
        <f>Ruimtestaat[[#This Row],[uren / jaar weekend]]*Tariefsopbouw!$D$40</f>
        <v>0</v>
      </c>
      <c r="AE491" s="86">
        <f>Ruimtestaat[[#This Row],[Prest. (m2 /jaar) weekend]]+Ruimtestaat[[#This Row],[Prest. (m2 /jaar) werkdagen]]</f>
        <v>21840</v>
      </c>
      <c r="AF491" s="86">
        <f>Ruimtestaat[[#This Row],[uren / jaar weekend]]+Ruimtestaat[[#This Row],[uren / jaar werkdagen]]</f>
        <v>0</v>
      </c>
      <c r="AG491" s="87">
        <f>Ruimtestaat[[#This Row],[kosten / jaar weekend]]+Ruimtestaat[[#This Row],[kosten / jaar werkdagen]]</f>
        <v>0</v>
      </c>
    </row>
    <row r="492" spans="1:33" ht="15" customHeight="1">
      <c r="A492" s="187">
        <v>5</v>
      </c>
      <c r="B492" s="21" t="str">
        <f>VLOOKUP(Ruimtestaat[[#This Row],[Code]],Locaties[#All],2,FALSE)</f>
        <v>Potskamp</v>
      </c>
      <c r="C492" s="231" t="str">
        <f>VLOOKUP(Ruimtestaat[[#This Row],[Code]],Locaties[#All],4,FALSE)</f>
        <v>Potskampstraat 2</v>
      </c>
      <c r="D492" s="231" t="str">
        <f>VLOOKUP(Ruimtestaat[[#This Row],[Code]],Locaties[#All],5,FALSE)</f>
        <v>7573 CC</v>
      </c>
      <c r="E492" s="187" t="str">
        <f>VLOOKUP(Ruimtestaat[[#This Row],[Code]],Locaties[#All],6,FALSE)</f>
        <v>Oldenzaal</v>
      </c>
      <c r="F492" s="232"/>
      <c r="G492" s="187" t="s">
        <v>679</v>
      </c>
      <c r="H492" s="187">
        <v>92</v>
      </c>
      <c r="I492" s="232" t="s">
        <v>604</v>
      </c>
      <c r="J492" s="187">
        <v>16</v>
      </c>
      <c r="K492" s="187" t="str">
        <f>VLOOKUP(Ruimtestaat[[#This Row],[Ruimte code]],Ruimtegroepen[#All],2,FALSE)</f>
        <v>Leslokalen/computerlokaal</v>
      </c>
      <c r="L492" s="187" t="s">
        <v>109</v>
      </c>
      <c r="M492" s="187" t="s">
        <v>1203</v>
      </c>
      <c r="N492" s="200">
        <v>57</v>
      </c>
      <c r="O492" s="200"/>
      <c r="P492" s="231" t="str">
        <f>VLOOKUP(Ruimtestaat[[#This Row],[Ruimte code]],Ruimtegroepen[#All],4,FALSE)</f>
        <v>L  (Lesruimte)</v>
      </c>
      <c r="Q492" s="201"/>
      <c r="R492" s="202">
        <v>42</v>
      </c>
      <c r="S492" s="202" t="s">
        <v>2</v>
      </c>
      <c r="T492" s="202">
        <f>IF(R492&gt;0,IF(RIGHT(Ruimtestaat[[#This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92" s="202">
        <f>IF(T492&gt;0,VLOOKUP($J492,Ruimtegroepen[],3,FALSE)*VLOOKUP($L492,Vloersoorten[],3,FALSE)*VLOOKUP($S492,Frequenties[],3,FALSE)*VLOOKUP($A492,Locaties[],3,FALSE),0)</f>
        <v>0</v>
      </c>
      <c r="V492" s="202">
        <f>Ruimtestaat[[#This Row],[Uitvoeringen werkdagen]]*Ruimtestaat[[#This Row],[Oppervlak (netto)]]</f>
        <v>11970</v>
      </c>
      <c r="W492" s="242">
        <f>IF(U492&gt;0,Ruimtestaat[[#This Row],[Prest. (m2 /jaar) werkdagen]]/Ruimtestaat[[#This Row],[Norm (m2/uur) werkdagen]],0)</f>
        <v>0</v>
      </c>
      <c r="X492" s="243">
        <f>Ruimtestaat[[#This Row],[uren / jaar werkdagen]]*Tariefsopbouw!$D$38</f>
        <v>0</v>
      </c>
      <c r="Y492" s="33"/>
      <c r="Z492" s="33">
        <f>IF(Ruimtestaat[[#This Row],[Frequentie weekend]]&gt;0,VALUE(LEFT(Y492,1))*R492,0)</f>
        <v>0</v>
      </c>
      <c r="AA492" s="33">
        <f>IF($Z492&gt;0,VLOOKUP($J492,Ruimtegroepen[],3,FALSE)*VLOOKUP($L492,Vloersoorten[],3,FALSE)*VLOOKUP($Y492,Frequenties[],3,FALSE)*VLOOKUP(#REF!,Locaties[],3,FALSE),0)</f>
        <v>0</v>
      </c>
      <c r="AB492" s="33"/>
      <c r="AC492" s="33"/>
      <c r="AD492" s="33">
        <f>Ruimtestaat[[#This Row],[uren / jaar weekend]]*Tariefsopbouw!$D$40</f>
        <v>0</v>
      </c>
      <c r="AE492" s="86">
        <f>Ruimtestaat[[#This Row],[Prest. (m2 /jaar) weekend]]+Ruimtestaat[[#This Row],[Prest. (m2 /jaar) werkdagen]]</f>
        <v>11970</v>
      </c>
      <c r="AF492" s="86">
        <f>Ruimtestaat[[#This Row],[uren / jaar weekend]]+Ruimtestaat[[#This Row],[uren / jaar werkdagen]]</f>
        <v>0</v>
      </c>
      <c r="AG492" s="87">
        <f>Ruimtestaat[[#This Row],[kosten / jaar weekend]]+Ruimtestaat[[#This Row],[kosten / jaar werkdagen]]</f>
        <v>0</v>
      </c>
    </row>
    <row r="493" spans="1:33" ht="15" customHeight="1">
      <c r="A493" s="187">
        <v>5</v>
      </c>
      <c r="B493" s="21" t="str">
        <f>VLOOKUP(Ruimtestaat[[#This Row],[Code]],Locaties[#All],2,FALSE)</f>
        <v>Potskamp</v>
      </c>
      <c r="C493" s="231" t="str">
        <f>VLOOKUP(Ruimtestaat[[#This Row],[Code]],Locaties[#All],4,FALSE)</f>
        <v>Potskampstraat 2</v>
      </c>
      <c r="D493" s="231" t="str">
        <f>VLOOKUP(Ruimtestaat[[#This Row],[Code]],Locaties[#All],5,FALSE)</f>
        <v>7573 CC</v>
      </c>
      <c r="E493" s="187" t="str">
        <f>VLOOKUP(Ruimtestaat[[#This Row],[Code]],Locaties[#All],6,FALSE)</f>
        <v>Oldenzaal</v>
      </c>
      <c r="F493" s="232"/>
      <c r="G493" s="187" t="s">
        <v>679</v>
      </c>
      <c r="H493" s="187">
        <v>91</v>
      </c>
      <c r="I493" s="232" t="s">
        <v>604</v>
      </c>
      <c r="J493" s="231">
        <v>16</v>
      </c>
      <c r="K493" s="231" t="str">
        <f>VLOOKUP(Ruimtestaat[[#This Row],[Ruimte code]],Ruimtegroepen[#All],2,FALSE)</f>
        <v>Leslokalen/computerlokaal</v>
      </c>
      <c r="L493" s="187" t="s">
        <v>109</v>
      </c>
      <c r="M493" s="187" t="s">
        <v>1203</v>
      </c>
      <c r="N493" s="200">
        <v>57</v>
      </c>
      <c r="O493" s="200"/>
      <c r="P493" s="231" t="str">
        <f>VLOOKUP(Ruimtestaat[[#This Row],[Ruimte code]],Ruimtegroepen[#All],4,FALSE)</f>
        <v>L  (Lesruimte)</v>
      </c>
      <c r="Q493" s="201"/>
      <c r="R493" s="202">
        <v>42</v>
      </c>
      <c r="S493" s="202" t="s">
        <v>2</v>
      </c>
      <c r="T493" s="202">
        <f>IF(R493&gt;0,IF(RIGHT(Ruimtestaat[[#This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93" s="202">
        <f>IF(T493&gt;0,VLOOKUP($J493,Ruimtegroepen[],3,FALSE)*VLOOKUP($L493,Vloersoorten[],3,FALSE)*VLOOKUP($S493,Frequenties[],3,FALSE)*VLOOKUP($A493,Locaties[],3,FALSE),0)</f>
        <v>0</v>
      </c>
      <c r="V493" s="202">
        <f>Ruimtestaat[[#This Row],[Uitvoeringen werkdagen]]*Ruimtestaat[[#This Row],[Oppervlak (netto)]]</f>
        <v>11970</v>
      </c>
      <c r="W493" s="242">
        <f>IF(U493&gt;0,Ruimtestaat[[#This Row],[Prest. (m2 /jaar) werkdagen]]/Ruimtestaat[[#This Row],[Norm (m2/uur) werkdagen]],0)</f>
        <v>0</v>
      </c>
      <c r="X493" s="243">
        <f>Ruimtestaat[[#This Row],[uren / jaar werkdagen]]*Tariefsopbouw!$D$38</f>
        <v>0</v>
      </c>
      <c r="Y493" s="33"/>
      <c r="Z493" s="33">
        <f>IF(Ruimtestaat[[#This Row],[Frequentie weekend]]&gt;0,VALUE(LEFT(Y493,1))*R493,0)</f>
        <v>0</v>
      </c>
      <c r="AA493" s="33">
        <f>IF($Z493&gt;0,VLOOKUP($J493,Ruimtegroepen[],3,FALSE)*VLOOKUP($L493,Vloersoorten[],3,FALSE)*VLOOKUP($Y493,Frequenties[],3,FALSE)*VLOOKUP(#REF!,Locaties[],3,FALSE),0)</f>
        <v>0</v>
      </c>
      <c r="AB493" s="33"/>
      <c r="AC493" s="33"/>
      <c r="AD493" s="33">
        <f>Ruimtestaat[[#This Row],[uren / jaar weekend]]*Tariefsopbouw!$D$40</f>
        <v>0</v>
      </c>
      <c r="AE493" s="86">
        <f>Ruimtestaat[[#This Row],[Prest. (m2 /jaar) weekend]]+Ruimtestaat[[#This Row],[Prest. (m2 /jaar) werkdagen]]</f>
        <v>11970</v>
      </c>
      <c r="AF493" s="86">
        <f>Ruimtestaat[[#This Row],[uren / jaar weekend]]+Ruimtestaat[[#This Row],[uren / jaar werkdagen]]</f>
        <v>0</v>
      </c>
      <c r="AG493" s="87">
        <f>Ruimtestaat[[#This Row],[kosten / jaar weekend]]+Ruimtestaat[[#This Row],[kosten / jaar werkdagen]]</f>
        <v>0</v>
      </c>
    </row>
    <row r="494" spans="1:33" ht="15" customHeight="1">
      <c r="A494" s="187">
        <v>5</v>
      </c>
      <c r="B494" s="21" t="str">
        <f>VLOOKUP(Ruimtestaat[[#This Row],[Code]],Locaties[#All],2,FALSE)</f>
        <v>Potskamp</v>
      </c>
      <c r="C494" s="231" t="str">
        <f>VLOOKUP(Ruimtestaat[[#This Row],[Code]],Locaties[#All],4,FALSE)</f>
        <v>Potskampstraat 2</v>
      </c>
      <c r="D494" s="231" t="str">
        <f>VLOOKUP(Ruimtestaat[[#This Row],[Code]],Locaties[#All],5,FALSE)</f>
        <v>7573 CC</v>
      </c>
      <c r="E494" s="187" t="str">
        <f>VLOOKUP(Ruimtestaat[[#This Row],[Code]],Locaties[#All],6,FALSE)</f>
        <v>Oldenzaal</v>
      </c>
      <c r="F494" s="232"/>
      <c r="G494" s="187" t="s">
        <v>679</v>
      </c>
      <c r="H494" s="187">
        <v>90</v>
      </c>
      <c r="I494" s="232" t="s">
        <v>604</v>
      </c>
      <c r="J494" s="231">
        <v>16</v>
      </c>
      <c r="K494" s="231" t="str">
        <f>VLOOKUP(Ruimtestaat[[#This Row],[Ruimte code]],Ruimtegroepen[#All],2,FALSE)</f>
        <v>Leslokalen/computerlokaal</v>
      </c>
      <c r="L494" s="187" t="s">
        <v>109</v>
      </c>
      <c r="M494" s="187" t="s">
        <v>1203</v>
      </c>
      <c r="N494" s="200">
        <v>74</v>
      </c>
      <c r="O494" s="200"/>
      <c r="P494" s="231" t="str">
        <f>VLOOKUP(Ruimtestaat[[#This Row],[Ruimte code]],Ruimtegroepen[#All],4,FALSE)</f>
        <v>L  (Lesruimte)</v>
      </c>
      <c r="Q494" s="201"/>
      <c r="R494" s="202">
        <v>42</v>
      </c>
      <c r="S494" s="202" t="s">
        <v>2</v>
      </c>
      <c r="T494" s="202">
        <f>IF(R494&gt;0,IF(RIGHT(Ruimtestaat[[#This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94" s="202">
        <f>IF(T494&gt;0,VLOOKUP($J494,Ruimtegroepen[],3,FALSE)*VLOOKUP($L494,Vloersoorten[],3,FALSE)*VLOOKUP($S494,Frequenties[],3,FALSE)*VLOOKUP($A494,Locaties[],3,FALSE),0)</f>
        <v>0</v>
      </c>
      <c r="V494" s="202">
        <f>Ruimtestaat[[#This Row],[Uitvoeringen werkdagen]]*Ruimtestaat[[#This Row],[Oppervlak (netto)]]</f>
        <v>15540</v>
      </c>
      <c r="W494" s="242">
        <f>IF(U494&gt;0,Ruimtestaat[[#This Row],[Prest. (m2 /jaar) werkdagen]]/Ruimtestaat[[#This Row],[Norm (m2/uur) werkdagen]],0)</f>
        <v>0</v>
      </c>
      <c r="X494" s="243">
        <f>Ruimtestaat[[#This Row],[uren / jaar werkdagen]]*Tariefsopbouw!$D$38</f>
        <v>0</v>
      </c>
      <c r="Y494" s="33"/>
      <c r="Z494" s="33">
        <f>IF(Ruimtestaat[[#This Row],[Frequentie weekend]]&gt;0,VALUE(LEFT(Y494,1))*R494,0)</f>
        <v>0</v>
      </c>
      <c r="AA494" s="33">
        <f>IF($Z494&gt;0,VLOOKUP($J494,Ruimtegroepen[],3,FALSE)*VLOOKUP($L494,Vloersoorten[],3,FALSE)*VLOOKUP($Y494,Frequenties[],3,FALSE)*VLOOKUP(#REF!,Locaties[],3,FALSE),0)</f>
        <v>0</v>
      </c>
      <c r="AB494" s="33"/>
      <c r="AC494" s="33"/>
      <c r="AD494" s="33">
        <f>Ruimtestaat[[#This Row],[uren / jaar weekend]]*Tariefsopbouw!$D$40</f>
        <v>0</v>
      </c>
      <c r="AE494" s="86">
        <f>Ruimtestaat[[#This Row],[Prest. (m2 /jaar) weekend]]+Ruimtestaat[[#This Row],[Prest. (m2 /jaar) werkdagen]]</f>
        <v>15540</v>
      </c>
      <c r="AF494" s="86">
        <f>Ruimtestaat[[#This Row],[uren / jaar weekend]]+Ruimtestaat[[#This Row],[uren / jaar werkdagen]]</f>
        <v>0</v>
      </c>
      <c r="AG494" s="87">
        <f>Ruimtestaat[[#This Row],[kosten / jaar weekend]]+Ruimtestaat[[#This Row],[kosten / jaar werkdagen]]</f>
        <v>0</v>
      </c>
    </row>
    <row r="495" spans="1:33" ht="15" customHeight="1">
      <c r="A495" s="187">
        <v>5</v>
      </c>
      <c r="B495" s="21" t="str">
        <f>VLOOKUP(Ruimtestaat[[#This Row],[Code]],Locaties[#All],2,FALSE)</f>
        <v>Potskamp</v>
      </c>
      <c r="C495" s="231" t="str">
        <f>VLOOKUP(Ruimtestaat[[#This Row],[Code]],Locaties[#All],4,FALSE)</f>
        <v>Potskampstraat 2</v>
      </c>
      <c r="D495" s="231" t="str">
        <f>VLOOKUP(Ruimtestaat[[#This Row],[Code]],Locaties[#All],5,FALSE)</f>
        <v>7573 CC</v>
      </c>
      <c r="E495" s="187" t="str">
        <f>VLOOKUP(Ruimtestaat[[#This Row],[Code]],Locaties[#All],6,FALSE)</f>
        <v>Oldenzaal</v>
      </c>
      <c r="F495" s="232"/>
      <c r="G495" s="187" t="s">
        <v>679</v>
      </c>
      <c r="H495" s="187"/>
      <c r="I495" s="232" t="s">
        <v>372</v>
      </c>
      <c r="J495" s="187">
        <v>6</v>
      </c>
      <c r="K495" s="187" t="str">
        <f>VLOOKUP(Ruimtestaat[[#This Row],[Ruimte code]],Ruimtegroepen[#All],2,FALSE)</f>
        <v>Gangen/hallen</v>
      </c>
      <c r="L495" s="187" t="s">
        <v>109</v>
      </c>
      <c r="M495" s="187" t="s">
        <v>1203</v>
      </c>
      <c r="N495" s="200">
        <v>96</v>
      </c>
      <c r="O495" s="200"/>
      <c r="P495" s="231" t="str">
        <f>VLOOKUP(Ruimtestaat[[#This Row],[Ruimte code]],Ruimtegroepen[#All],4,FALSE)</f>
        <v>V  (Verkeersruimte)</v>
      </c>
      <c r="Q495" s="201"/>
      <c r="R495" s="202">
        <v>42</v>
      </c>
      <c r="S495" s="202" t="s">
        <v>2</v>
      </c>
      <c r="T495" s="202">
        <f>IF(R495&gt;0,IF(RIGHT(Ruimtestaat[[#This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95" s="202">
        <f>IF(T495&gt;0,VLOOKUP($J495,Ruimtegroepen[],3,FALSE)*VLOOKUP($L495,Vloersoorten[],3,FALSE)*VLOOKUP($S495,Frequenties[],3,FALSE)*VLOOKUP($A495,Locaties[],3,FALSE),0)</f>
        <v>0</v>
      </c>
      <c r="V495" s="202">
        <f>Ruimtestaat[[#This Row],[Uitvoeringen werkdagen]]*Ruimtestaat[[#This Row],[Oppervlak (netto)]]</f>
        <v>20160</v>
      </c>
      <c r="W495" s="242">
        <f>IF(U495&gt;0,Ruimtestaat[[#This Row],[Prest. (m2 /jaar) werkdagen]]/Ruimtestaat[[#This Row],[Norm (m2/uur) werkdagen]],0)</f>
        <v>0</v>
      </c>
      <c r="X495" s="243">
        <f>Ruimtestaat[[#This Row],[uren / jaar werkdagen]]*Tariefsopbouw!$D$38</f>
        <v>0</v>
      </c>
      <c r="Y495" s="33"/>
      <c r="Z495" s="33">
        <f>IF(Ruimtestaat[[#This Row],[Frequentie weekend]]&gt;0,VALUE(LEFT(Y495,1))*R495,0)</f>
        <v>0</v>
      </c>
      <c r="AA495" s="33">
        <f>IF($Z495&gt;0,VLOOKUP($J495,Ruimtegroepen[],3,FALSE)*VLOOKUP($L495,Vloersoorten[],3,FALSE)*VLOOKUP($Y495,Frequenties[],3,FALSE)*VLOOKUP(#REF!,Locaties[],3,FALSE),0)</f>
        <v>0</v>
      </c>
      <c r="AB495" s="33"/>
      <c r="AC495" s="33"/>
      <c r="AD495" s="33">
        <f>Ruimtestaat[[#This Row],[uren / jaar weekend]]*Tariefsopbouw!$D$40</f>
        <v>0</v>
      </c>
      <c r="AE495" s="86">
        <f>Ruimtestaat[[#This Row],[Prest. (m2 /jaar) weekend]]+Ruimtestaat[[#This Row],[Prest. (m2 /jaar) werkdagen]]</f>
        <v>20160</v>
      </c>
      <c r="AF495" s="86">
        <f>Ruimtestaat[[#This Row],[uren / jaar weekend]]+Ruimtestaat[[#This Row],[uren / jaar werkdagen]]</f>
        <v>0</v>
      </c>
      <c r="AG495" s="87">
        <f>Ruimtestaat[[#This Row],[kosten / jaar weekend]]+Ruimtestaat[[#This Row],[kosten / jaar werkdagen]]</f>
        <v>0</v>
      </c>
    </row>
    <row r="496" spans="1:33" ht="15" customHeight="1">
      <c r="A496" s="187">
        <v>5</v>
      </c>
      <c r="B496" s="21" t="str">
        <f>VLOOKUP(Ruimtestaat[[#This Row],[Code]],Locaties[#All],2,FALSE)</f>
        <v>Potskamp</v>
      </c>
      <c r="C496" s="231" t="str">
        <f>VLOOKUP(Ruimtestaat[[#This Row],[Code]],Locaties[#All],4,FALSE)</f>
        <v>Potskampstraat 2</v>
      </c>
      <c r="D496" s="231" t="str">
        <f>VLOOKUP(Ruimtestaat[[#This Row],[Code]],Locaties[#All],5,FALSE)</f>
        <v>7573 CC</v>
      </c>
      <c r="E496" s="187" t="str">
        <f>VLOOKUP(Ruimtestaat[[#This Row],[Code]],Locaties[#All],6,FALSE)</f>
        <v>Oldenzaal</v>
      </c>
      <c r="F496" s="232"/>
      <c r="G496" s="187" t="s">
        <v>679</v>
      </c>
      <c r="H496" s="187"/>
      <c r="I496" s="232" t="s">
        <v>269</v>
      </c>
      <c r="J496" s="187">
        <v>10</v>
      </c>
      <c r="K496" s="187" t="str">
        <f>VLOOKUP(Ruimtestaat[[#This Row],[Ruimte code]],Ruimtegroepen[#All],2,FALSE)</f>
        <v>Trappenhuizen/lift</v>
      </c>
      <c r="L496" s="187" t="s">
        <v>109</v>
      </c>
      <c r="M496" s="187" t="s">
        <v>1203</v>
      </c>
      <c r="N496" s="200">
        <v>2</v>
      </c>
      <c r="O496" s="200"/>
      <c r="P496" s="231" t="str">
        <f>VLOOKUP(Ruimtestaat[[#This Row],[Ruimte code]],Ruimtegroepen[#All],4,FALSE)</f>
        <v>V  (Verkeersruimte)</v>
      </c>
      <c r="Q496" s="201"/>
      <c r="R496" s="202">
        <v>42</v>
      </c>
      <c r="S496" s="202" t="s">
        <v>2</v>
      </c>
      <c r="T496" s="202">
        <f>IF(R496&gt;0,IF(RIGHT(Ruimtestaat[[#This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496" s="202">
        <f>IF(T496&gt;0,VLOOKUP($J496,Ruimtegroepen[],3,FALSE)*VLOOKUP($L496,Vloersoorten[],3,FALSE)*VLOOKUP($S496,Frequenties[],3,FALSE)*VLOOKUP($A496,Locaties[],3,FALSE),0)</f>
        <v>0</v>
      </c>
      <c r="V496" s="202">
        <f>Ruimtestaat[[#This Row],[Uitvoeringen werkdagen]]*Ruimtestaat[[#This Row],[Oppervlak (netto)]]</f>
        <v>420</v>
      </c>
      <c r="W496" s="242">
        <f>IF(U496&gt;0,Ruimtestaat[[#This Row],[Prest. (m2 /jaar) werkdagen]]/Ruimtestaat[[#This Row],[Norm (m2/uur) werkdagen]],0)</f>
        <v>0</v>
      </c>
      <c r="X496" s="243">
        <f>Ruimtestaat[[#This Row],[uren / jaar werkdagen]]*Tariefsopbouw!$D$38</f>
        <v>0</v>
      </c>
      <c r="Y496" s="33"/>
      <c r="Z496" s="33">
        <f>IF(Ruimtestaat[[#This Row],[Frequentie weekend]]&gt;0,VALUE(LEFT(Y496,1))*R496,0)</f>
        <v>0</v>
      </c>
      <c r="AA496" s="33">
        <f>IF($Z496&gt;0,VLOOKUP($J496,Ruimtegroepen[],3,FALSE)*VLOOKUP($L496,Vloersoorten[],3,FALSE)*VLOOKUP($Y496,Frequenties[],3,FALSE)*VLOOKUP(#REF!,Locaties[],3,FALSE),0)</f>
        <v>0</v>
      </c>
      <c r="AB496" s="33"/>
      <c r="AC496" s="33"/>
      <c r="AD496" s="33">
        <f>Ruimtestaat[[#This Row],[uren / jaar weekend]]*Tariefsopbouw!$D$40</f>
        <v>0</v>
      </c>
      <c r="AE496" s="86">
        <f>Ruimtestaat[[#This Row],[Prest. (m2 /jaar) weekend]]+Ruimtestaat[[#This Row],[Prest. (m2 /jaar) werkdagen]]</f>
        <v>420</v>
      </c>
      <c r="AF496" s="86">
        <f>Ruimtestaat[[#This Row],[uren / jaar weekend]]+Ruimtestaat[[#This Row],[uren / jaar werkdagen]]</f>
        <v>0</v>
      </c>
      <c r="AG496" s="87">
        <f>Ruimtestaat[[#This Row],[kosten / jaar weekend]]+Ruimtestaat[[#This Row],[kosten / jaar werkdagen]]</f>
        <v>0</v>
      </c>
    </row>
    <row r="497" spans="1:33" ht="15" customHeight="1">
      <c r="A497" s="187">
        <v>5</v>
      </c>
      <c r="B497" s="21" t="str">
        <f>VLOOKUP(Ruimtestaat[[#This Row],[Code]],Locaties[#All],2,FALSE)</f>
        <v>Potskamp</v>
      </c>
      <c r="C497" s="231" t="str">
        <f>VLOOKUP(Ruimtestaat[[#This Row],[Code]],Locaties[#All],4,FALSE)</f>
        <v>Potskampstraat 2</v>
      </c>
      <c r="D497" s="231" t="str">
        <f>VLOOKUP(Ruimtestaat[[#This Row],[Code]],Locaties[#All],5,FALSE)</f>
        <v>7573 CC</v>
      </c>
      <c r="E497" s="187" t="str">
        <f>VLOOKUP(Ruimtestaat[[#This Row],[Code]],Locaties[#All],6,FALSE)</f>
        <v>Oldenzaal</v>
      </c>
      <c r="F497" s="232"/>
      <c r="G497" s="187" t="s">
        <v>679</v>
      </c>
      <c r="H497" s="187"/>
      <c r="I497" s="232" t="s">
        <v>698</v>
      </c>
      <c r="J497" s="231">
        <v>5</v>
      </c>
      <c r="K497" s="231" t="str">
        <f>VLOOKUP(Ruimtestaat[[#This Row],[Ruimte code]],Ruimtegroepen[#All],2,FALSE)</f>
        <v>Sanitair</v>
      </c>
      <c r="L497" s="202" t="s">
        <v>108</v>
      </c>
      <c r="M497" s="187" t="s">
        <v>1201</v>
      </c>
      <c r="N497" s="200">
        <v>5</v>
      </c>
      <c r="O497" s="200"/>
      <c r="P497" s="231" t="str">
        <f>VLOOKUP(Ruimtestaat[[#This Row],[Ruimte code]],Ruimtegroepen[#All],4,FALSE)</f>
        <v>S  (Sanitair)</v>
      </c>
      <c r="Q497" s="201"/>
      <c r="R497" s="202">
        <v>42</v>
      </c>
      <c r="S497" s="202" t="s">
        <v>19</v>
      </c>
      <c r="T497" s="202">
        <f>IF(R497&gt;0,IF(RIGHT(Ruimtestaat[[#This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497" s="202">
        <f>IF(T497&gt;0,VLOOKUP($J497,Ruimtegroepen[],3,FALSE)*VLOOKUP($L497,Vloersoorten[],3,FALSE)*VLOOKUP($S497,Frequenties[],3,FALSE)*VLOOKUP($A497,Locaties[],3,FALSE),0)</f>
        <v>0</v>
      </c>
      <c r="V497" s="202">
        <f>Ruimtestaat[[#This Row],[Uitvoeringen werkdagen]]*Ruimtestaat[[#This Row],[Oppervlak (netto)]]</f>
        <v>2100</v>
      </c>
      <c r="W497" s="242">
        <f>IF(U497&gt;0,Ruimtestaat[[#This Row],[Prest. (m2 /jaar) werkdagen]]/Ruimtestaat[[#This Row],[Norm (m2/uur) werkdagen]],0)</f>
        <v>0</v>
      </c>
      <c r="X497" s="243">
        <f>Ruimtestaat[[#This Row],[uren / jaar werkdagen]]*Tariefsopbouw!$D$38</f>
        <v>0</v>
      </c>
      <c r="Y497" s="33"/>
      <c r="Z497" s="33">
        <f>IF(Ruimtestaat[[#This Row],[Frequentie weekend]]&gt;0,VALUE(LEFT(Y497,1))*R497,0)</f>
        <v>0</v>
      </c>
      <c r="AA497" s="33">
        <f>IF($Z497&gt;0,VLOOKUP($J497,Ruimtegroepen[],3,FALSE)*VLOOKUP($L497,Vloersoorten[],3,FALSE)*VLOOKUP($Y497,Frequenties[],3,FALSE)*VLOOKUP(#REF!,Locaties[],3,FALSE),0)</f>
        <v>0</v>
      </c>
      <c r="AB497" s="33"/>
      <c r="AC497" s="33"/>
      <c r="AD497" s="33">
        <f>Ruimtestaat[[#This Row],[uren / jaar weekend]]*Tariefsopbouw!$D$40</f>
        <v>0</v>
      </c>
      <c r="AE497" s="86">
        <f>Ruimtestaat[[#This Row],[Prest. (m2 /jaar) weekend]]+Ruimtestaat[[#This Row],[Prest. (m2 /jaar) werkdagen]]</f>
        <v>2100</v>
      </c>
      <c r="AF497" s="86">
        <f>Ruimtestaat[[#This Row],[uren / jaar weekend]]+Ruimtestaat[[#This Row],[uren / jaar werkdagen]]</f>
        <v>0</v>
      </c>
      <c r="AG497" s="87">
        <f>Ruimtestaat[[#This Row],[kosten / jaar weekend]]+Ruimtestaat[[#This Row],[kosten / jaar werkdagen]]</f>
        <v>0</v>
      </c>
    </row>
    <row r="498" spans="1:33" ht="15" customHeight="1">
      <c r="A498" s="187">
        <v>5</v>
      </c>
      <c r="B498" s="21" t="str">
        <f>VLOOKUP(Ruimtestaat[[#This Row],[Code]],Locaties[#All],2,FALSE)</f>
        <v>Potskamp</v>
      </c>
      <c r="C498" s="231" t="str">
        <f>VLOOKUP(Ruimtestaat[[#This Row],[Code]],Locaties[#All],4,FALSE)</f>
        <v>Potskampstraat 2</v>
      </c>
      <c r="D498" s="231" t="str">
        <f>VLOOKUP(Ruimtestaat[[#This Row],[Code]],Locaties[#All],5,FALSE)</f>
        <v>7573 CC</v>
      </c>
      <c r="E498" s="187" t="str">
        <f>VLOOKUP(Ruimtestaat[[#This Row],[Code]],Locaties[#All],6,FALSE)</f>
        <v>Oldenzaal</v>
      </c>
      <c r="F498" s="232"/>
      <c r="G498" s="187" t="s">
        <v>679</v>
      </c>
      <c r="H498" s="187"/>
      <c r="I498" s="232" t="s">
        <v>698</v>
      </c>
      <c r="J498" s="187">
        <v>5</v>
      </c>
      <c r="K498" s="187" t="str">
        <f>VLOOKUP(Ruimtestaat[[#This Row],[Ruimte code]],Ruimtegroepen[#All],2,FALSE)</f>
        <v>Sanitair</v>
      </c>
      <c r="L498" s="202" t="s">
        <v>108</v>
      </c>
      <c r="M498" s="187" t="s">
        <v>1201</v>
      </c>
      <c r="N498" s="200">
        <v>16</v>
      </c>
      <c r="O498" s="200"/>
      <c r="P498" s="231" t="str">
        <f>VLOOKUP(Ruimtestaat[[#This Row],[Ruimte code]],Ruimtegroepen[#All],4,FALSE)</f>
        <v>S  (Sanitair)</v>
      </c>
      <c r="Q498" s="201"/>
      <c r="R498" s="202">
        <v>42</v>
      </c>
      <c r="S498" s="202" t="s">
        <v>19</v>
      </c>
      <c r="T498" s="202">
        <f>IF(R498&gt;0,IF(RIGHT(Ruimtestaat[[#This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498" s="202">
        <f>IF(T498&gt;0,VLOOKUP($J498,Ruimtegroepen[],3,FALSE)*VLOOKUP($L498,Vloersoorten[],3,FALSE)*VLOOKUP($S498,Frequenties[],3,FALSE)*VLOOKUP($A498,Locaties[],3,FALSE),0)</f>
        <v>0</v>
      </c>
      <c r="V498" s="202">
        <f>Ruimtestaat[[#This Row],[Uitvoeringen werkdagen]]*Ruimtestaat[[#This Row],[Oppervlak (netto)]]</f>
        <v>6720</v>
      </c>
      <c r="W498" s="242">
        <f>IF(U498&gt;0,Ruimtestaat[[#This Row],[Prest. (m2 /jaar) werkdagen]]/Ruimtestaat[[#This Row],[Norm (m2/uur) werkdagen]],0)</f>
        <v>0</v>
      </c>
      <c r="X498" s="243">
        <f>Ruimtestaat[[#This Row],[uren / jaar werkdagen]]*Tariefsopbouw!$D$38</f>
        <v>0</v>
      </c>
      <c r="Y498" s="33"/>
      <c r="Z498" s="33">
        <f>IF(Ruimtestaat[[#This Row],[Frequentie weekend]]&gt;0,VALUE(LEFT(Y498,1))*R498,0)</f>
        <v>0</v>
      </c>
      <c r="AA498" s="33">
        <f>IF($Z498&gt;0,VLOOKUP($J498,Ruimtegroepen[],3,FALSE)*VLOOKUP($L498,Vloersoorten[],3,FALSE)*VLOOKUP($Y498,Frequenties[],3,FALSE)*VLOOKUP(#REF!,Locaties[],3,FALSE),0)</f>
        <v>0</v>
      </c>
      <c r="AB498" s="33"/>
      <c r="AC498" s="33"/>
      <c r="AD498" s="33">
        <f>Ruimtestaat[[#This Row],[uren / jaar weekend]]*Tariefsopbouw!$D$40</f>
        <v>0</v>
      </c>
      <c r="AE498" s="86">
        <f>Ruimtestaat[[#This Row],[Prest. (m2 /jaar) weekend]]+Ruimtestaat[[#This Row],[Prest. (m2 /jaar) werkdagen]]</f>
        <v>6720</v>
      </c>
      <c r="AF498" s="86">
        <f>Ruimtestaat[[#This Row],[uren / jaar weekend]]+Ruimtestaat[[#This Row],[uren / jaar werkdagen]]</f>
        <v>0</v>
      </c>
      <c r="AG498" s="87">
        <f>Ruimtestaat[[#This Row],[kosten / jaar weekend]]+Ruimtestaat[[#This Row],[kosten / jaar werkdagen]]</f>
        <v>0</v>
      </c>
    </row>
    <row r="499" spans="1:33" ht="15" customHeight="1">
      <c r="A499" s="187">
        <v>5</v>
      </c>
      <c r="B499" s="21" t="str">
        <f>VLOOKUP(Ruimtestaat[[#This Row],[Code]],Locaties[#All],2,FALSE)</f>
        <v>Potskamp</v>
      </c>
      <c r="C499" s="231" t="str">
        <f>VLOOKUP(Ruimtestaat[[#This Row],[Code]],Locaties[#All],4,FALSE)</f>
        <v>Potskampstraat 2</v>
      </c>
      <c r="D499" s="231" t="str">
        <f>VLOOKUP(Ruimtestaat[[#This Row],[Code]],Locaties[#All],5,FALSE)</f>
        <v>7573 CC</v>
      </c>
      <c r="E499" s="187" t="str">
        <f>VLOOKUP(Ruimtestaat[[#This Row],[Code]],Locaties[#All],6,FALSE)</f>
        <v>Oldenzaal</v>
      </c>
      <c r="F499" s="232"/>
      <c r="G499" s="187" t="s">
        <v>679</v>
      </c>
      <c r="H499" s="187"/>
      <c r="I499" s="232" t="s">
        <v>698</v>
      </c>
      <c r="J499" s="187">
        <v>5</v>
      </c>
      <c r="K499" s="187" t="str">
        <f>VLOOKUP(Ruimtestaat[[#This Row],[Ruimte code]],Ruimtegroepen[#All],2,FALSE)</f>
        <v>Sanitair</v>
      </c>
      <c r="L499" s="202" t="s">
        <v>108</v>
      </c>
      <c r="M499" s="187" t="s">
        <v>1201</v>
      </c>
      <c r="N499" s="200">
        <v>6</v>
      </c>
      <c r="O499" s="200"/>
      <c r="P499" s="231" t="str">
        <f>VLOOKUP(Ruimtestaat[[#This Row],[Ruimte code]],Ruimtegroepen[#All],4,FALSE)</f>
        <v>S  (Sanitair)</v>
      </c>
      <c r="Q499" s="201"/>
      <c r="R499" s="202">
        <v>42</v>
      </c>
      <c r="S499" s="202" t="s">
        <v>19</v>
      </c>
      <c r="T499" s="202">
        <f>IF(R499&gt;0,IF(RIGHT(Ruimtestaat[[#This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499" s="202">
        <f>IF(T499&gt;0,VLOOKUP($J499,Ruimtegroepen[],3,FALSE)*VLOOKUP($L499,Vloersoorten[],3,FALSE)*VLOOKUP($S499,Frequenties[],3,FALSE)*VLOOKUP($A499,Locaties[],3,FALSE),0)</f>
        <v>0</v>
      </c>
      <c r="V499" s="202">
        <f>Ruimtestaat[[#This Row],[Uitvoeringen werkdagen]]*Ruimtestaat[[#This Row],[Oppervlak (netto)]]</f>
        <v>2520</v>
      </c>
      <c r="W499" s="242">
        <f>IF(U499&gt;0,Ruimtestaat[[#This Row],[Prest. (m2 /jaar) werkdagen]]/Ruimtestaat[[#This Row],[Norm (m2/uur) werkdagen]],0)</f>
        <v>0</v>
      </c>
      <c r="X499" s="243">
        <f>Ruimtestaat[[#This Row],[uren / jaar werkdagen]]*Tariefsopbouw!$D$38</f>
        <v>0</v>
      </c>
      <c r="Y499" s="33"/>
      <c r="Z499" s="33">
        <f>IF(Ruimtestaat[[#This Row],[Frequentie weekend]]&gt;0,VALUE(LEFT(Y499,1))*R499,0)</f>
        <v>0</v>
      </c>
      <c r="AA499" s="33">
        <f>IF($Z499&gt;0,VLOOKUP($J499,Ruimtegroepen[],3,FALSE)*VLOOKUP($L499,Vloersoorten[],3,FALSE)*VLOOKUP($Y499,Frequenties[],3,FALSE)*VLOOKUP(#REF!,Locaties[],3,FALSE),0)</f>
        <v>0</v>
      </c>
      <c r="AB499" s="33"/>
      <c r="AC499" s="33"/>
      <c r="AD499" s="33">
        <f>Ruimtestaat[[#This Row],[uren / jaar weekend]]*Tariefsopbouw!$D$40</f>
        <v>0</v>
      </c>
      <c r="AE499" s="86">
        <f>Ruimtestaat[[#This Row],[Prest. (m2 /jaar) weekend]]+Ruimtestaat[[#This Row],[Prest. (m2 /jaar) werkdagen]]</f>
        <v>2520</v>
      </c>
      <c r="AF499" s="86">
        <f>Ruimtestaat[[#This Row],[uren / jaar weekend]]+Ruimtestaat[[#This Row],[uren / jaar werkdagen]]</f>
        <v>0</v>
      </c>
      <c r="AG499" s="87">
        <f>Ruimtestaat[[#This Row],[kosten / jaar weekend]]+Ruimtestaat[[#This Row],[kosten / jaar werkdagen]]</f>
        <v>0</v>
      </c>
    </row>
    <row r="500" spans="1:33" ht="15" customHeight="1">
      <c r="A500" s="187">
        <v>5</v>
      </c>
      <c r="B500" s="21" t="str">
        <f>VLOOKUP(Ruimtestaat[[#This Row],[Code]],Locaties[#All],2,FALSE)</f>
        <v>Potskamp</v>
      </c>
      <c r="C500" s="231" t="str">
        <f>VLOOKUP(Ruimtestaat[[#This Row],[Code]],Locaties[#All],4,FALSE)</f>
        <v>Potskampstraat 2</v>
      </c>
      <c r="D500" s="231" t="str">
        <f>VLOOKUP(Ruimtestaat[[#This Row],[Code]],Locaties[#All],5,FALSE)</f>
        <v>7573 CC</v>
      </c>
      <c r="E500" s="187" t="str">
        <f>VLOOKUP(Ruimtestaat[[#This Row],[Code]],Locaties[#All],6,FALSE)</f>
        <v>Oldenzaal</v>
      </c>
      <c r="F500" s="232"/>
      <c r="G500" s="187" t="s">
        <v>679</v>
      </c>
      <c r="H500" s="187"/>
      <c r="I500" s="232" t="s">
        <v>473</v>
      </c>
      <c r="J500" s="187">
        <v>10</v>
      </c>
      <c r="K500" s="187" t="str">
        <f>VLOOKUP(Ruimtestaat[[#This Row],[Ruimte code]],Ruimtegroepen[#All],2,FALSE)</f>
        <v>Trappenhuizen/lift</v>
      </c>
      <c r="L500" s="187" t="s">
        <v>109</v>
      </c>
      <c r="M500" s="187" t="s">
        <v>1203</v>
      </c>
      <c r="N500" s="200">
        <v>32</v>
      </c>
      <c r="O500" s="200"/>
      <c r="P500" s="231" t="str">
        <f>VLOOKUP(Ruimtestaat[[#This Row],[Ruimte code]],Ruimtegroepen[#All],4,FALSE)</f>
        <v>V  (Verkeersruimte)</v>
      </c>
      <c r="Q500" s="201"/>
      <c r="R500" s="202">
        <v>42</v>
      </c>
      <c r="S500" s="202" t="s">
        <v>2</v>
      </c>
      <c r="T500" s="202">
        <f>IF(R500&gt;0,IF(RIGHT(Ruimtestaat[[#This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00" s="202">
        <f>IF(T500&gt;0,VLOOKUP($J500,Ruimtegroepen[],3,FALSE)*VLOOKUP($L500,Vloersoorten[],3,FALSE)*VLOOKUP($S500,Frequenties[],3,FALSE)*VLOOKUP($A500,Locaties[],3,FALSE),0)</f>
        <v>0</v>
      </c>
      <c r="V500" s="202">
        <f>Ruimtestaat[[#This Row],[Uitvoeringen werkdagen]]*Ruimtestaat[[#This Row],[Oppervlak (netto)]]</f>
        <v>6720</v>
      </c>
      <c r="W500" s="242">
        <f>IF(U500&gt;0,Ruimtestaat[[#This Row],[Prest. (m2 /jaar) werkdagen]]/Ruimtestaat[[#This Row],[Norm (m2/uur) werkdagen]],0)</f>
        <v>0</v>
      </c>
      <c r="X500" s="243">
        <f>Ruimtestaat[[#This Row],[uren / jaar werkdagen]]*Tariefsopbouw!$D$38</f>
        <v>0</v>
      </c>
      <c r="Y500" s="33"/>
      <c r="Z500" s="33">
        <f>IF(Ruimtestaat[[#This Row],[Frequentie weekend]]&gt;0,VALUE(LEFT(Y500,1))*R500,0)</f>
        <v>0</v>
      </c>
      <c r="AA500" s="33">
        <f>IF($Z500&gt;0,VLOOKUP($J500,Ruimtegroepen[],3,FALSE)*VLOOKUP($L500,Vloersoorten[],3,FALSE)*VLOOKUP($Y500,Frequenties[],3,FALSE)*VLOOKUP(#REF!,Locaties[],3,FALSE),0)</f>
        <v>0</v>
      </c>
      <c r="AB500" s="33"/>
      <c r="AC500" s="33"/>
      <c r="AD500" s="33">
        <f>Ruimtestaat[[#This Row],[uren / jaar weekend]]*Tariefsopbouw!$D$40</f>
        <v>0</v>
      </c>
      <c r="AE500" s="86">
        <f>Ruimtestaat[[#This Row],[Prest. (m2 /jaar) weekend]]+Ruimtestaat[[#This Row],[Prest. (m2 /jaar) werkdagen]]</f>
        <v>6720</v>
      </c>
      <c r="AF500" s="86">
        <f>Ruimtestaat[[#This Row],[uren / jaar weekend]]+Ruimtestaat[[#This Row],[uren / jaar werkdagen]]</f>
        <v>0</v>
      </c>
      <c r="AG500" s="87">
        <f>Ruimtestaat[[#This Row],[kosten / jaar weekend]]+Ruimtestaat[[#This Row],[kosten / jaar werkdagen]]</f>
        <v>0</v>
      </c>
    </row>
    <row r="501" spans="1:33" ht="15" customHeight="1">
      <c r="A501" s="187">
        <v>5</v>
      </c>
      <c r="B501" s="21" t="str">
        <f>VLOOKUP(Ruimtestaat[[#This Row],[Code]],Locaties[#All],2,FALSE)</f>
        <v>Potskamp</v>
      </c>
      <c r="C501" s="231" t="str">
        <f>VLOOKUP(Ruimtestaat[[#This Row],[Code]],Locaties[#All],4,FALSE)</f>
        <v>Potskampstraat 2</v>
      </c>
      <c r="D501" s="231" t="str">
        <f>VLOOKUP(Ruimtestaat[[#This Row],[Code]],Locaties[#All],5,FALSE)</f>
        <v>7573 CC</v>
      </c>
      <c r="E501" s="187" t="str">
        <f>VLOOKUP(Ruimtestaat[[#This Row],[Code]],Locaties[#All],6,FALSE)</f>
        <v>Oldenzaal</v>
      </c>
      <c r="F501" s="232"/>
      <c r="G501" s="187" t="s">
        <v>679</v>
      </c>
      <c r="H501" s="187"/>
      <c r="I501" s="232" t="s">
        <v>596</v>
      </c>
      <c r="J501" s="187">
        <v>10</v>
      </c>
      <c r="K501" s="187" t="str">
        <f>VLOOKUP(Ruimtestaat[[#This Row],[Ruimte code]],Ruimtegroepen[#All],2,FALSE)</f>
        <v>Trappenhuizen/lift</v>
      </c>
      <c r="L501" s="202" t="s">
        <v>108</v>
      </c>
      <c r="M501" s="187" t="s">
        <v>1209</v>
      </c>
      <c r="N501" s="200">
        <v>30</v>
      </c>
      <c r="O501" s="200"/>
      <c r="P501" s="231" t="str">
        <f>VLOOKUP(Ruimtestaat[[#This Row],[Ruimte code]],Ruimtegroepen[#All],4,FALSE)</f>
        <v>V  (Verkeersruimte)</v>
      </c>
      <c r="Q501" s="201"/>
      <c r="R501" s="202">
        <v>42</v>
      </c>
      <c r="S501" s="202" t="s">
        <v>2</v>
      </c>
      <c r="T501" s="202">
        <f>IF(R501&gt;0,IF(RIGHT(Ruimtestaat[[#This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01" s="202">
        <f>IF(T501&gt;0,VLOOKUP($J501,Ruimtegroepen[],3,FALSE)*VLOOKUP($L501,Vloersoorten[],3,FALSE)*VLOOKUP($S501,Frequenties[],3,FALSE)*VLOOKUP($A501,Locaties[],3,FALSE),0)</f>
        <v>0</v>
      </c>
      <c r="V501" s="202">
        <f>Ruimtestaat[[#This Row],[Uitvoeringen werkdagen]]*Ruimtestaat[[#This Row],[Oppervlak (netto)]]</f>
        <v>6300</v>
      </c>
      <c r="W501" s="242">
        <f>IF(U501&gt;0,Ruimtestaat[[#This Row],[Prest. (m2 /jaar) werkdagen]]/Ruimtestaat[[#This Row],[Norm (m2/uur) werkdagen]],0)</f>
        <v>0</v>
      </c>
      <c r="X501" s="243">
        <f>Ruimtestaat[[#This Row],[uren / jaar werkdagen]]*Tariefsopbouw!$D$38</f>
        <v>0</v>
      </c>
      <c r="Y501" s="33"/>
      <c r="Z501" s="33">
        <f>IF(Ruimtestaat[[#This Row],[Frequentie weekend]]&gt;0,VALUE(LEFT(Y501,1))*R501,0)</f>
        <v>0</v>
      </c>
      <c r="AA501" s="33">
        <f>IF($Z501&gt;0,VLOOKUP($J501,Ruimtegroepen[],3,FALSE)*VLOOKUP($L501,Vloersoorten[],3,FALSE)*VLOOKUP($Y501,Frequenties[],3,FALSE)*VLOOKUP(#REF!,Locaties[],3,FALSE),0)</f>
        <v>0</v>
      </c>
      <c r="AB501" s="33"/>
      <c r="AC501" s="33"/>
      <c r="AD501" s="33">
        <f>Ruimtestaat[[#This Row],[uren / jaar weekend]]*Tariefsopbouw!$D$40</f>
        <v>0</v>
      </c>
      <c r="AE501" s="86">
        <f>Ruimtestaat[[#This Row],[Prest. (m2 /jaar) weekend]]+Ruimtestaat[[#This Row],[Prest. (m2 /jaar) werkdagen]]</f>
        <v>6300</v>
      </c>
      <c r="AF501" s="86">
        <f>Ruimtestaat[[#This Row],[uren / jaar weekend]]+Ruimtestaat[[#This Row],[uren / jaar werkdagen]]</f>
        <v>0</v>
      </c>
      <c r="AG501" s="87">
        <f>Ruimtestaat[[#This Row],[kosten / jaar weekend]]+Ruimtestaat[[#This Row],[kosten / jaar werkdagen]]</f>
        <v>0</v>
      </c>
    </row>
    <row r="502" spans="1:33" ht="15" customHeight="1">
      <c r="A502" s="187">
        <v>5</v>
      </c>
      <c r="B502" s="21" t="str">
        <f>VLOOKUP(Ruimtestaat[[#This Row],[Code]],Locaties[#All],2,FALSE)</f>
        <v>Potskamp</v>
      </c>
      <c r="C502" s="231" t="str">
        <f>VLOOKUP(Ruimtestaat[[#This Row],[Code]],Locaties[#All],4,FALSE)</f>
        <v>Potskampstraat 2</v>
      </c>
      <c r="D502" s="231" t="str">
        <f>VLOOKUP(Ruimtestaat[[#This Row],[Code]],Locaties[#All],5,FALSE)</f>
        <v>7573 CC</v>
      </c>
      <c r="E502" s="187" t="str">
        <f>VLOOKUP(Ruimtestaat[[#This Row],[Code]],Locaties[#All],6,FALSE)</f>
        <v>Oldenzaal</v>
      </c>
      <c r="F502" s="232"/>
      <c r="G502" s="187" t="s">
        <v>679</v>
      </c>
      <c r="H502" s="187"/>
      <c r="I502" s="232" t="s">
        <v>372</v>
      </c>
      <c r="J502" s="187">
        <v>6</v>
      </c>
      <c r="K502" s="187" t="str">
        <f>VLOOKUP(Ruimtestaat[[#This Row],[Ruimte code]],Ruimtegroepen[#All],2,FALSE)</f>
        <v>Gangen/hallen</v>
      </c>
      <c r="L502" s="231" t="s">
        <v>677</v>
      </c>
      <c r="M502" s="187" t="s">
        <v>1200</v>
      </c>
      <c r="N502" s="200">
        <v>248</v>
      </c>
      <c r="O502" s="200"/>
      <c r="P502" s="231" t="str">
        <f>VLOOKUP(Ruimtestaat[[#This Row],[Ruimte code]],Ruimtegroepen[#All],4,FALSE)</f>
        <v>V  (Verkeersruimte)</v>
      </c>
      <c r="Q502" s="201"/>
      <c r="R502" s="202">
        <v>42</v>
      </c>
      <c r="S502" s="202" t="s">
        <v>2</v>
      </c>
      <c r="T502" s="202">
        <f>IF(R502&gt;0,IF(RIGHT(Ruimtestaat[[#This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02" s="202">
        <f>IF(T502&gt;0,VLOOKUP($J502,Ruimtegroepen[],3,FALSE)*VLOOKUP($L502,Vloersoorten[],3,FALSE)*VLOOKUP($S502,Frequenties[],3,FALSE)*VLOOKUP($A502,Locaties[],3,FALSE),0)</f>
        <v>0</v>
      </c>
      <c r="V502" s="202">
        <f>Ruimtestaat[[#This Row],[Uitvoeringen werkdagen]]*Ruimtestaat[[#This Row],[Oppervlak (netto)]]</f>
        <v>52080</v>
      </c>
      <c r="W502" s="242">
        <f>IF(U502&gt;0,Ruimtestaat[[#This Row],[Prest. (m2 /jaar) werkdagen]]/Ruimtestaat[[#This Row],[Norm (m2/uur) werkdagen]],0)</f>
        <v>0</v>
      </c>
      <c r="X502" s="243">
        <f>Ruimtestaat[[#This Row],[uren / jaar werkdagen]]*Tariefsopbouw!$D$38</f>
        <v>0</v>
      </c>
      <c r="Y502" s="33"/>
      <c r="Z502" s="33">
        <f>IF(Ruimtestaat[[#This Row],[Frequentie weekend]]&gt;0,VALUE(LEFT(Y502,1))*R502,0)</f>
        <v>0</v>
      </c>
      <c r="AA502" s="33">
        <f>IF($Z502&gt;0,VLOOKUP($J502,Ruimtegroepen[],3,FALSE)*VLOOKUP($L502,Vloersoorten[],3,FALSE)*VLOOKUP($Y502,Frequenties[],3,FALSE)*VLOOKUP(#REF!,Locaties[],3,FALSE),0)</f>
        <v>0</v>
      </c>
      <c r="AB502" s="33"/>
      <c r="AC502" s="33"/>
      <c r="AD502" s="33">
        <f>Ruimtestaat[[#This Row],[uren / jaar weekend]]*Tariefsopbouw!$D$40</f>
        <v>0</v>
      </c>
      <c r="AE502" s="86">
        <f>Ruimtestaat[[#This Row],[Prest. (m2 /jaar) weekend]]+Ruimtestaat[[#This Row],[Prest. (m2 /jaar) werkdagen]]</f>
        <v>52080</v>
      </c>
      <c r="AF502" s="86">
        <f>Ruimtestaat[[#This Row],[uren / jaar weekend]]+Ruimtestaat[[#This Row],[uren / jaar werkdagen]]</f>
        <v>0</v>
      </c>
      <c r="AG502" s="87">
        <f>Ruimtestaat[[#This Row],[kosten / jaar weekend]]+Ruimtestaat[[#This Row],[kosten / jaar werkdagen]]</f>
        <v>0</v>
      </c>
    </row>
    <row r="503" spans="1:33" ht="15" customHeight="1">
      <c r="A503" s="187">
        <v>5</v>
      </c>
      <c r="B503" s="21" t="str">
        <f>VLOOKUP(Ruimtestaat[[#This Row],[Code]],Locaties[#All],2,FALSE)</f>
        <v>Potskamp</v>
      </c>
      <c r="C503" s="231" t="str">
        <f>VLOOKUP(Ruimtestaat[[#This Row],[Code]],Locaties[#All],4,FALSE)</f>
        <v>Potskampstraat 2</v>
      </c>
      <c r="D503" s="231" t="str">
        <f>VLOOKUP(Ruimtestaat[[#This Row],[Code]],Locaties[#All],5,FALSE)</f>
        <v>7573 CC</v>
      </c>
      <c r="E503" s="187" t="str">
        <f>VLOOKUP(Ruimtestaat[[#This Row],[Code]],Locaties[#All],6,FALSE)</f>
        <v>Oldenzaal</v>
      </c>
      <c r="F503" s="232"/>
      <c r="G503" s="187" t="s">
        <v>679</v>
      </c>
      <c r="H503" s="187">
        <v>55</v>
      </c>
      <c r="I503" s="232" t="s">
        <v>557</v>
      </c>
      <c r="J503" s="187">
        <v>2</v>
      </c>
      <c r="K503" s="187" t="str">
        <f>VLOOKUP(Ruimtestaat[[#This Row],[Ruimte code]],Ruimtegroepen[#All],2,FALSE)</f>
        <v>Kantoren/kantoortuin</v>
      </c>
      <c r="L503" s="231" t="s">
        <v>1204</v>
      </c>
      <c r="M503" s="187" t="s">
        <v>1205</v>
      </c>
      <c r="N503" s="200">
        <v>16</v>
      </c>
      <c r="O503" s="200"/>
      <c r="P503" s="231" t="str">
        <f>VLOOKUP(Ruimtestaat[[#This Row],[Ruimte code]],Ruimtegroepen[#All],4,FALSE)</f>
        <v>B  (Bureauruimte)</v>
      </c>
      <c r="Q503" s="201"/>
      <c r="R503" s="202">
        <v>42</v>
      </c>
      <c r="S503" s="202" t="s">
        <v>2</v>
      </c>
      <c r="T503" s="202">
        <f>IF(R503&gt;0,IF(RIGHT(Ruimtestaat[[#This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03" s="202">
        <f>IF(T503&gt;0,VLOOKUP($J503,Ruimtegroepen[],3,FALSE)*VLOOKUP($L503,Vloersoorten[],3,FALSE)*VLOOKUP($S503,Frequenties[],3,FALSE)*VLOOKUP($A503,Locaties[],3,FALSE),0)</f>
        <v>0</v>
      </c>
      <c r="V503" s="202">
        <f>Ruimtestaat[[#This Row],[Uitvoeringen werkdagen]]*Ruimtestaat[[#This Row],[Oppervlak (netto)]]</f>
        <v>3360</v>
      </c>
      <c r="W503" s="242">
        <f>IF(U503&gt;0,Ruimtestaat[[#This Row],[Prest. (m2 /jaar) werkdagen]]/Ruimtestaat[[#This Row],[Norm (m2/uur) werkdagen]],0)</f>
        <v>0</v>
      </c>
      <c r="X503" s="243">
        <f>Ruimtestaat[[#This Row],[uren / jaar werkdagen]]*Tariefsopbouw!$D$38</f>
        <v>0</v>
      </c>
      <c r="Y503" s="33"/>
      <c r="Z503" s="33">
        <f>IF(Ruimtestaat[[#This Row],[Frequentie weekend]]&gt;0,VALUE(LEFT(Y503,1))*R503,0)</f>
        <v>0</v>
      </c>
      <c r="AA503" s="33">
        <f>IF($Z503&gt;0,VLOOKUP($J503,Ruimtegroepen[],3,FALSE)*VLOOKUP($L503,Vloersoorten[],3,FALSE)*VLOOKUP($Y503,Frequenties[],3,FALSE)*VLOOKUP(#REF!,Locaties[],3,FALSE),0)</f>
        <v>0</v>
      </c>
      <c r="AB503" s="33"/>
      <c r="AC503" s="33"/>
      <c r="AD503" s="33">
        <f>Ruimtestaat[[#This Row],[uren / jaar weekend]]*Tariefsopbouw!$D$40</f>
        <v>0</v>
      </c>
      <c r="AE503" s="86">
        <f>Ruimtestaat[[#This Row],[Prest. (m2 /jaar) weekend]]+Ruimtestaat[[#This Row],[Prest. (m2 /jaar) werkdagen]]</f>
        <v>3360</v>
      </c>
      <c r="AF503" s="86">
        <f>Ruimtestaat[[#This Row],[uren / jaar weekend]]+Ruimtestaat[[#This Row],[uren / jaar werkdagen]]</f>
        <v>0</v>
      </c>
      <c r="AG503" s="87">
        <f>Ruimtestaat[[#This Row],[kosten / jaar weekend]]+Ruimtestaat[[#This Row],[kosten / jaar werkdagen]]</f>
        <v>0</v>
      </c>
    </row>
    <row r="504" spans="1:33" ht="15" customHeight="1">
      <c r="A504" s="187">
        <v>5</v>
      </c>
      <c r="B504" s="21" t="str">
        <f>VLOOKUP(Ruimtestaat[[#This Row],[Code]],Locaties[#All],2,FALSE)</f>
        <v>Potskamp</v>
      </c>
      <c r="C504" s="231" t="str">
        <f>VLOOKUP(Ruimtestaat[[#This Row],[Code]],Locaties[#All],4,FALSE)</f>
        <v>Potskampstraat 2</v>
      </c>
      <c r="D504" s="231" t="str">
        <f>VLOOKUP(Ruimtestaat[[#This Row],[Code]],Locaties[#All],5,FALSE)</f>
        <v>7573 CC</v>
      </c>
      <c r="E504" s="187" t="str">
        <f>VLOOKUP(Ruimtestaat[[#This Row],[Code]],Locaties[#All],6,FALSE)</f>
        <v>Oldenzaal</v>
      </c>
      <c r="F504" s="232"/>
      <c r="G504" s="187" t="s">
        <v>679</v>
      </c>
      <c r="H504" s="187">
        <v>61</v>
      </c>
      <c r="I504" s="232" t="s">
        <v>752</v>
      </c>
      <c r="J504" s="187">
        <v>14</v>
      </c>
      <c r="K504" s="187" t="str">
        <f>VLOOKUP(Ruimtestaat[[#This Row],[Ruimte code]],Ruimtegroepen[#All],2,FALSE)</f>
        <v>Praktijklokalen/kabinet</v>
      </c>
      <c r="L504" s="231" t="s">
        <v>677</v>
      </c>
      <c r="M504" s="187" t="s">
        <v>1200</v>
      </c>
      <c r="N504" s="200">
        <v>132</v>
      </c>
      <c r="O504" s="200"/>
      <c r="P504" s="231" t="str">
        <f>VLOOKUP(Ruimtestaat[[#This Row],[Ruimte code]],Ruimtegroepen[#All],4,FALSE)</f>
        <v>L  (Lesruimte)</v>
      </c>
      <c r="Q504" s="201"/>
      <c r="R504" s="202">
        <v>42</v>
      </c>
      <c r="S504" s="202" t="s">
        <v>2</v>
      </c>
      <c r="T504" s="202">
        <f>IF(R504&gt;0,IF(RIGHT(Ruimtestaat[[#This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04" s="202">
        <f>IF(T504&gt;0,VLOOKUP($J504,Ruimtegroepen[],3,FALSE)*VLOOKUP($L504,Vloersoorten[],3,FALSE)*VLOOKUP($S504,Frequenties[],3,FALSE)*VLOOKUP($A504,Locaties[],3,FALSE),0)</f>
        <v>0</v>
      </c>
      <c r="V504" s="202">
        <f>Ruimtestaat[[#This Row],[Uitvoeringen werkdagen]]*Ruimtestaat[[#This Row],[Oppervlak (netto)]]</f>
        <v>27720</v>
      </c>
      <c r="W504" s="242">
        <f>IF(U504&gt;0,Ruimtestaat[[#This Row],[Prest. (m2 /jaar) werkdagen]]/Ruimtestaat[[#This Row],[Norm (m2/uur) werkdagen]],0)</f>
        <v>0</v>
      </c>
      <c r="X504" s="243">
        <f>Ruimtestaat[[#This Row],[uren / jaar werkdagen]]*Tariefsopbouw!$D$38</f>
        <v>0</v>
      </c>
      <c r="Y504" s="33"/>
      <c r="Z504" s="33">
        <f>IF(Ruimtestaat[[#This Row],[Frequentie weekend]]&gt;0,VALUE(LEFT(Y504,1))*R504,0)</f>
        <v>0</v>
      </c>
      <c r="AA504" s="33">
        <f>IF($Z504&gt;0,VLOOKUP($J504,Ruimtegroepen[],3,FALSE)*VLOOKUP($L504,Vloersoorten[],3,FALSE)*VLOOKUP($Y504,Frequenties[],3,FALSE)*VLOOKUP(#REF!,Locaties[],3,FALSE),0)</f>
        <v>0</v>
      </c>
      <c r="AB504" s="33"/>
      <c r="AC504" s="33"/>
      <c r="AD504" s="33">
        <f>Ruimtestaat[[#This Row],[uren / jaar weekend]]*Tariefsopbouw!$D$40</f>
        <v>0</v>
      </c>
      <c r="AE504" s="86">
        <f>Ruimtestaat[[#This Row],[Prest. (m2 /jaar) weekend]]+Ruimtestaat[[#This Row],[Prest. (m2 /jaar) werkdagen]]</f>
        <v>27720</v>
      </c>
      <c r="AF504" s="86">
        <f>Ruimtestaat[[#This Row],[uren / jaar weekend]]+Ruimtestaat[[#This Row],[uren / jaar werkdagen]]</f>
        <v>0</v>
      </c>
      <c r="AG504" s="87">
        <f>Ruimtestaat[[#This Row],[kosten / jaar weekend]]+Ruimtestaat[[#This Row],[kosten / jaar werkdagen]]</f>
        <v>0</v>
      </c>
    </row>
    <row r="505" spans="1:33" ht="15" customHeight="1">
      <c r="A505" s="187">
        <v>5</v>
      </c>
      <c r="B505" s="21" t="str">
        <f>VLOOKUP(Ruimtestaat[[#This Row],[Code]],Locaties[#All],2,FALSE)</f>
        <v>Potskamp</v>
      </c>
      <c r="C505" s="231" t="str">
        <f>VLOOKUP(Ruimtestaat[[#This Row],[Code]],Locaties[#All],4,FALSE)</f>
        <v>Potskampstraat 2</v>
      </c>
      <c r="D505" s="231" t="str">
        <f>VLOOKUP(Ruimtestaat[[#This Row],[Code]],Locaties[#All],5,FALSE)</f>
        <v>7573 CC</v>
      </c>
      <c r="E505" s="187" t="str">
        <f>VLOOKUP(Ruimtestaat[[#This Row],[Code]],Locaties[#All],6,FALSE)</f>
        <v>Oldenzaal</v>
      </c>
      <c r="F505" s="232"/>
      <c r="G505" s="187" t="s">
        <v>679</v>
      </c>
      <c r="H505" s="187">
        <v>60</v>
      </c>
      <c r="I505" s="232" t="s">
        <v>609</v>
      </c>
      <c r="J505" s="231">
        <v>12</v>
      </c>
      <c r="K505" s="231" t="str">
        <f>VLOOKUP(Ruimtestaat[[#This Row],[Ruimte code]],Ruimtegroepen[#All],2,FALSE)</f>
        <v>Kantine/aula</v>
      </c>
      <c r="L505" s="187" t="s">
        <v>109</v>
      </c>
      <c r="M505" s="187" t="s">
        <v>1203</v>
      </c>
      <c r="N505" s="200">
        <v>148</v>
      </c>
      <c r="O505" s="200"/>
      <c r="P505" s="231" t="str">
        <f>VLOOKUP(Ruimtestaat[[#This Row],[Ruimte code]],Ruimtegroepen[#All],4,FALSE)</f>
        <v>V  (Verkeersruimte)</v>
      </c>
      <c r="Q505" s="201"/>
      <c r="R505" s="202">
        <v>42</v>
      </c>
      <c r="S505" s="202" t="s">
        <v>2</v>
      </c>
      <c r="T505" s="202">
        <f>IF(R505&gt;0,IF(RIGHT(Ruimtestaat[[#This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05" s="202">
        <f>IF(T505&gt;0,VLOOKUP($J505,Ruimtegroepen[],3,FALSE)*VLOOKUP($L505,Vloersoorten[],3,FALSE)*VLOOKUP($S505,Frequenties[],3,FALSE)*VLOOKUP($A505,Locaties[],3,FALSE),0)</f>
        <v>0</v>
      </c>
      <c r="V505" s="202">
        <f>Ruimtestaat[[#This Row],[Uitvoeringen werkdagen]]*Ruimtestaat[[#This Row],[Oppervlak (netto)]]</f>
        <v>31080</v>
      </c>
      <c r="W505" s="242">
        <f>IF(U505&gt;0,Ruimtestaat[[#This Row],[Prest. (m2 /jaar) werkdagen]]/Ruimtestaat[[#This Row],[Norm (m2/uur) werkdagen]],0)</f>
        <v>0</v>
      </c>
      <c r="X505" s="243">
        <f>Ruimtestaat[[#This Row],[uren / jaar werkdagen]]*Tariefsopbouw!$D$38</f>
        <v>0</v>
      </c>
      <c r="Y505" s="33"/>
      <c r="Z505" s="33">
        <f>IF(Ruimtestaat[[#This Row],[Frequentie weekend]]&gt;0,VALUE(LEFT(Y505,1))*R505,0)</f>
        <v>0</v>
      </c>
      <c r="AA505" s="33">
        <f>IF($Z505&gt;0,VLOOKUP($J505,Ruimtegroepen[],3,FALSE)*VLOOKUP($L505,Vloersoorten[],3,FALSE)*VLOOKUP($Y505,Frequenties[],3,FALSE)*VLOOKUP(#REF!,Locaties[],3,FALSE),0)</f>
        <v>0</v>
      </c>
      <c r="AB505" s="33"/>
      <c r="AC505" s="33"/>
      <c r="AD505" s="33">
        <f>Ruimtestaat[[#This Row],[uren / jaar weekend]]*Tariefsopbouw!$D$40</f>
        <v>0</v>
      </c>
      <c r="AE505" s="86">
        <f>Ruimtestaat[[#This Row],[Prest. (m2 /jaar) weekend]]+Ruimtestaat[[#This Row],[Prest. (m2 /jaar) werkdagen]]</f>
        <v>31080</v>
      </c>
      <c r="AF505" s="86">
        <f>Ruimtestaat[[#This Row],[uren / jaar weekend]]+Ruimtestaat[[#This Row],[uren / jaar werkdagen]]</f>
        <v>0</v>
      </c>
      <c r="AG505" s="87">
        <f>Ruimtestaat[[#This Row],[kosten / jaar weekend]]+Ruimtestaat[[#This Row],[kosten / jaar werkdagen]]</f>
        <v>0</v>
      </c>
    </row>
    <row r="506" spans="1:33" ht="15" customHeight="1">
      <c r="A506" s="187">
        <v>5</v>
      </c>
      <c r="B506" s="21" t="str">
        <f>VLOOKUP(Ruimtestaat[[#This Row],[Code]],Locaties[#All],2,FALSE)</f>
        <v>Potskamp</v>
      </c>
      <c r="C506" s="231" t="str">
        <f>VLOOKUP(Ruimtestaat[[#This Row],[Code]],Locaties[#All],4,FALSE)</f>
        <v>Potskampstraat 2</v>
      </c>
      <c r="D506" s="231" t="str">
        <f>VLOOKUP(Ruimtestaat[[#This Row],[Code]],Locaties[#All],5,FALSE)</f>
        <v>7573 CC</v>
      </c>
      <c r="E506" s="187" t="str">
        <f>VLOOKUP(Ruimtestaat[[#This Row],[Code]],Locaties[#All],6,FALSE)</f>
        <v>Oldenzaal</v>
      </c>
      <c r="F506" s="232"/>
      <c r="G506" s="187" t="s">
        <v>679</v>
      </c>
      <c r="H506" s="187">
        <v>62</v>
      </c>
      <c r="I506" s="232" t="s">
        <v>604</v>
      </c>
      <c r="J506" s="187">
        <v>16</v>
      </c>
      <c r="K506" s="187" t="str">
        <f>VLOOKUP(Ruimtestaat[[#This Row],[Ruimte code]],Ruimtegroepen[#All],2,FALSE)</f>
        <v>Leslokalen/computerlokaal</v>
      </c>
      <c r="L506" s="231" t="s">
        <v>677</v>
      </c>
      <c r="M506" s="187" t="s">
        <v>1200</v>
      </c>
      <c r="N506" s="200">
        <v>47</v>
      </c>
      <c r="O506" s="200"/>
      <c r="P506" s="231" t="str">
        <f>VLOOKUP(Ruimtestaat[[#This Row],[Ruimte code]],Ruimtegroepen[#All],4,FALSE)</f>
        <v>L  (Lesruimte)</v>
      </c>
      <c r="Q506" s="201"/>
      <c r="R506" s="202">
        <v>42</v>
      </c>
      <c r="S506" s="202" t="s">
        <v>2</v>
      </c>
      <c r="T506" s="202">
        <f>IF(R506&gt;0,IF(RIGHT(Ruimtestaat[[#This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06" s="202">
        <f>IF(T506&gt;0,VLOOKUP($J506,Ruimtegroepen[],3,FALSE)*VLOOKUP($L506,Vloersoorten[],3,FALSE)*VLOOKUP($S506,Frequenties[],3,FALSE)*VLOOKUP($A506,Locaties[],3,FALSE),0)</f>
        <v>0</v>
      </c>
      <c r="V506" s="202">
        <f>Ruimtestaat[[#This Row],[Uitvoeringen werkdagen]]*Ruimtestaat[[#This Row],[Oppervlak (netto)]]</f>
        <v>9870</v>
      </c>
      <c r="W506" s="242">
        <f>IF(U506&gt;0,Ruimtestaat[[#This Row],[Prest. (m2 /jaar) werkdagen]]/Ruimtestaat[[#This Row],[Norm (m2/uur) werkdagen]],0)</f>
        <v>0</v>
      </c>
      <c r="X506" s="243">
        <f>Ruimtestaat[[#This Row],[uren / jaar werkdagen]]*Tariefsopbouw!$D$38</f>
        <v>0</v>
      </c>
      <c r="Y506" s="33"/>
      <c r="Z506" s="33">
        <f>IF(Ruimtestaat[[#This Row],[Frequentie weekend]]&gt;0,VALUE(LEFT(Y506,1))*R506,0)</f>
        <v>0</v>
      </c>
      <c r="AA506" s="33">
        <f>IF($Z506&gt;0,VLOOKUP($J506,Ruimtegroepen[],3,FALSE)*VLOOKUP($L506,Vloersoorten[],3,FALSE)*VLOOKUP($Y506,Frequenties[],3,FALSE)*VLOOKUP(#REF!,Locaties[],3,FALSE),0)</f>
        <v>0</v>
      </c>
      <c r="AB506" s="33"/>
      <c r="AC506" s="33"/>
      <c r="AD506" s="33">
        <f>Ruimtestaat[[#This Row],[uren / jaar weekend]]*Tariefsopbouw!$D$40</f>
        <v>0</v>
      </c>
      <c r="AE506" s="86">
        <f>Ruimtestaat[[#This Row],[Prest. (m2 /jaar) weekend]]+Ruimtestaat[[#This Row],[Prest. (m2 /jaar) werkdagen]]</f>
        <v>9870</v>
      </c>
      <c r="AF506" s="86">
        <f>Ruimtestaat[[#This Row],[uren / jaar weekend]]+Ruimtestaat[[#This Row],[uren / jaar werkdagen]]</f>
        <v>0</v>
      </c>
      <c r="AG506" s="87">
        <f>Ruimtestaat[[#This Row],[kosten / jaar weekend]]+Ruimtestaat[[#This Row],[kosten / jaar werkdagen]]</f>
        <v>0</v>
      </c>
    </row>
    <row r="507" spans="1:33" ht="15" customHeight="1">
      <c r="A507" s="187">
        <v>5</v>
      </c>
      <c r="B507" s="21" t="str">
        <f>VLOOKUP(Ruimtestaat[[#This Row],[Code]],Locaties[#All],2,FALSE)</f>
        <v>Potskamp</v>
      </c>
      <c r="C507" s="231" t="str">
        <f>VLOOKUP(Ruimtestaat[[#This Row],[Code]],Locaties[#All],4,FALSE)</f>
        <v>Potskampstraat 2</v>
      </c>
      <c r="D507" s="231" t="str">
        <f>VLOOKUP(Ruimtestaat[[#This Row],[Code]],Locaties[#All],5,FALSE)</f>
        <v>7573 CC</v>
      </c>
      <c r="E507" s="187" t="str">
        <f>VLOOKUP(Ruimtestaat[[#This Row],[Code]],Locaties[#All],6,FALSE)</f>
        <v>Oldenzaal</v>
      </c>
      <c r="F507" s="232"/>
      <c r="G507" s="187" t="s">
        <v>679</v>
      </c>
      <c r="H507" s="187">
        <v>65</v>
      </c>
      <c r="I507" s="232" t="s">
        <v>604</v>
      </c>
      <c r="J507" s="187">
        <v>16</v>
      </c>
      <c r="K507" s="187" t="str">
        <f>VLOOKUP(Ruimtestaat[[#This Row],[Ruimte code]],Ruimtegroepen[#All],2,FALSE)</f>
        <v>Leslokalen/computerlokaal</v>
      </c>
      <c r="L507" s="231" t="s">
        <v>677</v>
      </c>
      <c r="M507" s="187" t="s">
        <v>1200</v>
      </c>
      <c r="N507" s="200">
        <v>47</v>
      </c>
      <c r="O507" s="200"/>
      <c r="P507" s="231" t="str">
        <f>VLOOKUP(Ruimtestaat[[#This Row],[Ruimte code]],Ruimtegroepen[#All],4,FALSE)</f>
        <v>L  (Lesruimte)</v>
      </c>
      <c r="Q507" s="201"/>
      <c r="R507" s="202">
        <v>42</v>
      </c>
      <c r="S507" s="202" t="s">
        <v>2</v>
      </c>
      <c r="T507" s="202">
        <f>IF(R507&gt;0,IF(RIGHT(Ruimtestaat[[#This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07" s="202">
        <f>IF(T507&gt;0,VLOOKUP($J507,Ruimtegroepen[],3,FALSE)*VLOOKUP($L507,Vloersoorten[],3,FALSE)*VLOOKUP($S507,Frequenties[],3,FALSE)*VLOOKUP($A507,Locaties[],3,FALSE),0)</f>
        <v>0</v>
      </c>
      <c r="V507" s="202">
        <f>Ruimtestaat[[#This Row],[Uitvoeringen werkdagen]]*Ruimtestaat[[#This Row],[Oppervlak (netto)]]</f>
        <v>9870</v>
      </c>
      <c r="W507" s="242">
        <f>IF(U507&gt;0,Ruimtestaat[[#This Row],[Prest. (m2 /jaar) werkdagen]]/Ruimtestaat[[#This Row],[Norm (m2/uur) werkdagen]],0)</f>
        <v>0</v>
      </c>
      <c r="X507" s="243">
        <f>Ruimtestaat[[#This Row],[uren / jaar werkdagen]]*Tariefsopbouw!$D$38</f>
        <v>0</v>
      </c>
      <c r="Y507" s="33"/>
      <c r="Z507" s="33">
        <f>IF(Ruimtestaat[[#This Row],[Frequentie weekend]]&gt;0,VALUE(LEFT(Y507,1))*R507,0)</f>
        <v>0</v>
      </c>
      <c r="AA507" s="33">
        <f>IF($Z507&gt;0,VLOOKUP($J507,Ruimtegroepen[],3,FALSE)*VLOOKUP($L507,Vloersoorten[],3,FALSE)*VLOOKUP($Y507,Frequenties[],3,FALSE)*VLOOKUP(#REF!,Locaties[],3,FALSE),0)</f>
        <v>0</v>
      </c>
      <c r="AB507" s="33"/>
      <c r="AC507" s="33"/>
      <c r="AD507" s="33">
        <f>Ruimtestaat[[#This Row],[uren / jaar weekend]]*Tariefsopbouw!$D$40</f>
        <v>0</v>
      </c>
      <c r="AE507" s="86">
        <f>Ruimtestaat[[#This Row],[Prest. (m2 /jaar) weekend]]+Ruimtestaat[[#This Row],[Prest. (m2 /jaar) werkdagen]]</f>
        <v>9870</v>
      </c>
      <c r="AF507" s="86">
        <f>Ruimtestaat[[#This Row],[uren / jaar weekend]]+Ruimtestaat[[#This Row],[uren / jaar werkdagen]]</f>
        <v>0</v>
      </c>
      <c r="AG507" s="87">
        <f>Ruimtestaat[[#This Row],[kosten / jaar weekend]]+Ruimtestaat[[#This Row],[kosten / jaar werkdagen]]</f>
        <v>0</v>
      </c>
    </row>
    <row r="508" spans="1:33" ht="15" customHeight="1">
      <c r="A508" s="187">
        <v>5</v>
      </c>
      <c r="B508" s="21" t="str">
        <f>VLOOKUP(Ruimtestaat[[#This Row],[Code]],Locaties[#All],2,FALSE)</f>
        <v>Potskamp</v>
      </c>
      <c r="C508" s="231" t="str">
        <f>VLOOKUP(Ruimtestaat[[#This Row],[Code]],Locaties[#All],4,FALSE)</f>
        <v>Potskampstraat 2</v>
      </c>
      <c r="D508" s="231" t="str">
        <f>VLOOKUP(Ruimtestaat[[#This Row],[Code]],Locaties[#All],5,FALSE)</f>
        <v>7573 CC</v>
      </c>
      <c r="E508" s="187" t="str">
        <f>VLOOKUP(Ruimtestaat[[#This Row],[Code]],Locaties[#All],6,FALSE)</f>
        <v>Oldenzaal</v>
      </c>
      <c r="F508" s="232"/>
      <c r="G508" s="187" t="s">
        <v>679</v>
      </c>
      <c r="H508" s="187">
        <v>73</v>
      </c>
      <c r="I508" s="232" t="s">
        <v>604</v>
      </c>
      <c r="J508" s="187">
        <v>16</v>
      </c>
      <c r="K508" s="187" t="str">
        <f>VLOOKUP(Ruimtestaat[[#This Row],[Ruimte code]],Ruimtegroepen[#All],2,FALSE)</f>
        <v>Leslokalen/computerlokaal</v>
      </c>
      <c r="L508" s="231" t="s">
        <v>677</v>
      </c>
      <c r="M508" s="187" t="s">
        <v>1200</v>
      </c>
      <c r="N508" s="200">
        <v>47</v>
      </c>
      <c r="O508" s="200"/>
      <c r="P508" s="231" t="str">
        <f>VLOOKUP(Ruimtestaat[[#This Row],[Ruimte code]],Ruimtegroepen[#All],4,FALSE)</f>
        <v>L  (Lesruimte)</v>
      </c>
      <c r="Q508" s="201"/>
      <c r="R508" s="202">
        <v>42</v>
      </c>
      <c r="S508" s="202" t="s">
        <v>2</v>
      </c>
      <c r="T508" s="202">
        <f>IF(R508&gt;0,IF(RIGHT(Ruimtestaat[[#This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08" s="202">
        <f>IF(T508&gt;0,VLOOKUP($J508,Ruimtegroepen[],3,FALSE)*VLOOKUP($L508,Vloersoorten[],3,FALSE)*VLOOKUP($S508,Frequenties[],3,FALSE)*VLOOKUP($A508,Locaties[],3,FALSE),0)</f>
        <v>0</v>
      </c>
      <c r="V508" s="202">
        <f>Ruimtestaat[[#This Row],[Uitvoeringen werkdagen]]*Ruimtestaat[[#This Row],[Oppervlak (netto)]]</f>
        <v>9870</v>
      </c>
      <c r="W508" s="242">
        <f>IF(U508&gt;0,Ruimtestaat[[#This Row],[Prest. (m2 /jaar) werkdagen]]/Ruimtestaat[[#This Row],[Norm (m2/uur) werkdagen]],0)</f>
        <v>0</v>
      </c>
      <c r="X508" s="243">
        <f>Ruimtestaat[[#This Row],[uren / jaar werkdagen]]*Tariefsopbouw!$D$38</f>
        <v>0</v>
      </c>
      <c r="Y508" s="33"/>
      <c r="Z508" s="33">
        <f>IF(Ruimtestaat[[#This Row],[Frequentie weekend]]&gt;0,VALUE(LEFT(Y508,1))*R508,0)</f>
        <v>0</v>
      </c>
      <c r="AA508" s="33">
        <f>IF($Z508&gt;0,VLOOKUP($J508,Ruimtegroepen[],3,FALSE)*VLOOKUP($L508,Vloersoorten[],3,FALSE)*VLOOKUP($Y508,Frequenties[],3,FALSE)*VLOOKUP(#REF!,Locaties[],3,FALSE),0)</f>
        <v>0</v>
      </c>
      <c r="AB508" s="33"/>
      <c r="AC508" s="33"/>
      <c r="AD508" s="33">
        <f>Ruimtestaat[[#This Row],[uren / jaar weekend]]*Tariefsopbouw!$D$40</f>
        <v>0</v>
      </c>
      <c r="AE508" s="86">
        <f>Ruimtestaat[[#This Row],[Prest. (m2 /jaar) weekend]]+Ruimtestaat[[#This Row],[Prest. (m2 /jaar) werkdagen]]</f>
        <v>9870</v>
      </c>
      <c r="AF508" s="86">
        <f>Ruimtestaat[[#This Row],[uren / jaar weekend]]+Ruimtestaat[[#This Row],[uren / jaar werkdagen]]</f>
        <v>0</v>
      </c>
      <c r="AG508" s="87">
        <f>Ruimtestaat[[#This Row],[kosten / jaar weekend]]+Ruimtestaat[[#This Row],[kosten / jaar werkdagen]]</f>
        <v>0</v>
      </c>
    </row>
    <row r="509" spans="1:33" ht="15" customHeight="1">
      <c r="A509" s="187">
        <v>5</v>
      </c>
      <c r="B509" s="21" t="str">
        <f>VLOOKUP(Ruimtestaat[[#This Row],[Code]],Locaties[#All],2,FALSE)</f>
        <v>Potskamp</v>
      </c>
      <c r="C509" s="231" t="str">
        <f>VLOOKUP(Ruimtestaat[[#This Row],[Code]],Locaties[#All],4,FALSE)</f>
        <v>Potskampstraat 2</v>
      </c>
      <c r="D509" s="231" t="str">
        <f>VLOOKUP(Ruimtestaat[[#This Row],[Code]],Locaties[#All],5,FALSE)</f>
        <v>7573 CC</v>
      </c>
      <c r="E509" s="187" t="str">
        <f>VLOOKUP(Ruimtestaat[[#This Row],[Code]],Locaties[#All],6,FALSE)</f>
        <v>Oldenzaal</v>
      </c>
      <c r="F509" s="232"/>
      <c r="G509" s="187" t="s">
        <v>679</v>
      </c>
      <c r="H509" s="187">
        <v>74</v>
      </c>
      <c r="I509" s="232" t="s">
        <v>604</v>
      </c>
      <c r="J509" s="231">
        <v>16</v>
      </c>
      <c r="K509" s="231" t="str">
        <f>VLOOKUP(Ruimtestaat[[#This Row],[Ruimte code]],Ruimtegroepen[#All],2,FALSE)</f>
        <v>Leslokalen/computerlokaal</v>
      </c>
      <c r="L509" s="231" t="s">
        <v>677</v>
      </c>
      <c r="M509" s="187" t="s">
        <v>1200</v>
      </c>
      <c r="N509" s="200">
        <v>47</v>
      </c>
      <c r="O509" s="200"/>
      <c r="P509" s="231" t="str">
        <f>VLOOKUP(Ruimtestaat[[#This Row],[Ruimte code]],Ruimtegroepen[#All],4,FALSE)</f>
        <v>L  (Lesruimte)</v>
      </c>
      <c r="Q509" s="201"/>
      <c r="R509" s="202">
        <v>42</v>
      </c>
      <c r="S509" s="202" t="s">
        <v>2</v>
      </c>
      <c r="T509" s="202">
        <f>IF(R509&gt;0,IF(RIGHT(Ruimtestaat[[#This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09" s="202">
        <f>IF(T509&gt;0,VLOOKUP($J509,Ruimtegroepen[],3,FALSE)*VLOOKUP($L509,Vloersoorten[],3,FALSE)*VLOOKUP($S509,Frequenties[],3,FALSE)*VLOOKUP($A509,Locaties[],3,FALSE),0)</f>
        <v>0</v>
      </c>
      <c r="V509" s="202">
        <f>Ruimtestaat[[#This Row],[Uitvoeringen werkdagen]]*Ruimtestaat[[#This Row],[Oppervlak (netto)]]</f>
        <v>9870</v>
      </c>
      <c r="W509" s="242">
        <f>IF(U509&gt;0,Ruimtestaat[[#This Row],[Prest. (m2 /jaar) werkdagen]]/Ruimtestaat[[#This Row],[Norm (m2/uur) werkdagen]],0)</f>
        <v>0</v>
      </c>
      <c r="X509" s="243">
        <f>Ruimtestaat[[#This Row],[uren / jaar werkdagen]]*Tariefsopbouw!$D$38</f>
        <v>0</v>
      </c>
      <c r="Y509" s="33"/>
      <c r="Z509" s="33">
        <f>IF(Ruimtestaat[[#This Row],[Frequentie weekend]]&gt;0,VALUE(LEFT(Y509,1))*R509,0)</f>
        <v>0</v>
      </c>
      <c r="AA509" s="33">
        <f>IF($Z509&gt;0,VLOOKUP($J509,Ruimtegroepen[],3,FALSE)*VLOOKUP($L509,Vloersoorten[],3,FALSE)*VLOOKUP($Y509,Frequenties[],3,FALSE)*VLOOKUP(#REF!,Locaties[],3,FALSE),0)</f>
        <v>0</v>
      </c>
      <c r="AB509" s="33"/>
      <c r="AC509" s="33"/>
      <c r="AD509" s="33">
        <f>Ruimtestaat[[#This Row],[uren / jaar weekend]]*Tariefsopbouw!$D$40</f>
        <v>0</v>
      </c>
      <c r="AE509" s="86">
        <f>Ruimtestaat[[#This Row],[Prest. (m2 /jaar) weekend]]+Ruimtestaat[[#This Row],[Prest. (m2 /jaar) werkdagen]]</f>
        <v>9870</v>
      </c>
      <c r="AF509" s="86">
        <f>Ruimtestaat[[#This Row],[uren / jaar weekend]]+Ruimtestaat[[#This Row],[uren / jaar werkdagen]]</f>
        <v>0</v>
      </c>
      <c r="AG509" s="87">
        <f>Ruimtestaat[[#This Row],[kosten / jaar weekend]]+Ruimtestaat[[#This Row],[kosten / jaar werkdagen]]</f>
        <v>0</v>
      </c>
    </row>
    <row r="510" spans="1:33" ht="15" customHeight="1">
      <c r="A510" s="187">
        <v>5</v>
      </c>
      <c r="B510" s="21" t="str">
        <f>VLOOKUP(Ruimtestaat[[#This Row],[Code]],Locaties[#All],2,FALSE)</f>
        <v>Potskamp</v>
      </c>
      <c r="C510" s="231" t="str">
        <f>VLOOKUP(Ruimtestaat[[#This Row],[Code]],Locaties[#All],4,FALSE)</f>
        <v>Potskampstraat 2</v>
      </c>
      <c r="D510" s="231" t="str">
        <f>VLOOKUP(Ruimtestaat[[#This Row],[Code]],Locaties[#All],5,FALSE)</f>
        <v>7573 CC</v>
      </c>
      <c r="E510" s="187" t="str">
        <f>VLOOKUP(Ruimtestaat[[#This Row],[Code]],Locaties[#All],6,FALSE)</f>
        <v>Oldenzaal</v>
      </c>
      <c r="F510" s="232"/>
      <c r="G510" s="187" t="s">
        <v>679</v>
      </c>
      <c r="H510" s="187">
        <v>63</v>
      </c>
      <c r="I510" s="232" t="s">
        <v>753</v>
      </c>
      <c r="J510" s="231">
        <v>2</v>
      </c>
      <c r="K510" s="231" t="str">
        <f>VLOOKUP(Ruimtestaat[[#This Row],[Ruimte code]],Ruimtegroepen[#All],2,FALSE)</f>
        <v>Kantoren/kantoortuin</v>
      </c>
      <c r="L510" s="187" t="s">
        <v>109</v>
      </c>
      <c r="M510" s="187" t="s">
        <v>1203</v>
      </c>
      <c r="N510" s="200">
        <v>19</v>
      </c>
      <c r="O510" s="200"/>
      <c r="P510" s="231" t="str">
        <f>VLOOKUP(Ruimtestaat[[#This Row],[Ruimte code]],Ruimtegroepen[#All],4,FALSE)</f>
        <v>B  (Bureauruimte)</v>
      </c>
      <c r="Q510" s="201"/>
      <c r="R510" s="202">
        <v>42</v>
      </c>
      <c r="S510" s="202" t="s">
        <v>2</v>
      </c>
      <c r="T510" s="202">
        <f>IF(R510&gt;0,IF(RIGHT(Ruimtestaat[[#This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10" s="202">
        <f>IF(T510&gt;0,VLOOKUP($J510,Ruimtegroepen[],3,FALSE)*VLOOKUP($L510,Vloersoorten[],3,FALSE)*VLOOKUP($S510,Frequenties[],3,FALSE)*VLOOKUP($A510,Locaties[],3,FALSE),0)</f>
        <v>0</v>
      </c>
      <c r="V510" s="202">
        <f>Ruimtestaat[[#This Row],[Uitvoeringen werkdagen]]*Ruimtestaat[[#This Row],[Oppervlak (netto)]]</f>
        <v>3990</v>
      </c>
      <c r="W510" s="242">
        <f>IF(U510&gt;0,Ruimtestaat[[#This Row],[Prest. (m2 /jaar) werkdagen]]/Ruimtestaat[[#This Row],[Norm (m2/uur) werkdagen]],0)</f>
        <v>0</v>
      </c>
      <c r="X510" s="243">
        <f>Ruimtestaat[[#This Row],[uren / jaar werkdagen]]*Tariefsopbouw!$D$38</f>
        <v>0</v>
      </c>
      <c r="Y510" s="33"/>
      <c r="Z510" s="33">
        <f>IF(Ruimtestaat[[#This Row],[Frequentie weekend]]&gt;0,VALUE(LEFT(Y510,1))*R510,0)</f>
        <v>0</v>
      </c>
      <c r="AA510" s="33">
        <f>IF($Z510&gt;0,VLOOKUP($J510,Ruimtegroepen[],3,FALSE)*VLOOKUP($L510,Vloersoorten[],3,FALSE)*VLOOKUP($Y510,Frequenties[],3,FALSE)*VLOOKUP(#REF!,Locaties[],3,FALSE),0)</f>
        <v>0</v>
      </c>
      <c r="AB510" s="33"/>
      <c r="AC510" s="33"/>
      <c r="AD510" s="33">
        <f>Ruimtestaat[[#This Row],[uren / jaar weekend]]*Tariefsopbouw!$D$40</f>
        <v>0</v>
      </c>
      <c r="AE510" s="86">
        <f>Ruimtestaat[[#This Row],[Prest. (m2 /jaar) weekend]]+Ruimtestaat[[#This Row],[Prest. (m2 /jaar) werkdagen]]</f>
        <v>3990</v>
      </c>
      <c r="AF510" s="86">
        <f>Ruimtestaat[[#This Row],[uren / jaar weekend]]+Ruimtestaat[[#This Row],[uren / jaar werkdagen]]</f>
        <v>0</v>
      </c>
      <c r="AG510" s="87">
        <f>Ruimtestaat[[#This Row],[kosten / jaar weekend]]+Ruimtestaat[[#This Row],[kosten / jaar werkdagen]]</f>
        <v>0</v>
      </c>
    </row>
    <row r="511" spans="1:33" ht="15" customHeight="1">
      <c r="A511" s="187">
        <v>5</v>
      </c>
      <c r="B511" s="21" t="str">
        <f>VLOOKUP(Ruimtestaat[[#This Row],[Code]],Locaties[#All],2,FALSE)</f>
        <v>Potskamp</v>
      </c>
      <c r="C511" s="231" t="str">
        <f>VLOOKUP(Ruimtestaat[[#This Row],[Code]],Locaties[#All],4,FALSE)</f>
        <v>Potskampstraat 2</v>
      </c>
      <c r="D511" s="231" t="str">
        <f>VLOOKUP(Ruimtestaat[[#This Row],[Code]],Locaties[#All],5,FALSE)</f>
        <v>7573 CC</v>
      </c>
      <c r="E511" s="187" t="str">
        <f>VLOOKUP(Ruimtestaat[[#This Row],[Code]],Locaties[#All],6,FALSE)</f>
        <v>Oldenzaal</v>
      </c>
      <c r="F511" s="232"/>
      <c r="G511" s="187" t="s">
        <v>679</v>
      </c>
      <c r="H511" s="187">
        <v>54</v>
      </c>
      <c r="I511" s="232" t="s">
        <v>557</v>
      </c>
      <c r="J511" s="187">
        <v>2</v>
      </c>
      <c r="K511" s="187" t="str">
        <f>VLOOKUP(Ruimtestaat[[#This Row],[Ruimte code]],Ruimtegroepen[#All],2,FALSE)</f>
        <v>Kantoren/kantoortuin</v>
      </c>
      <c r="L511" s="187" t="s">
        <v>109</v>
      </c>
      <c r="M511" s="187" t="s">
        <v>1203</v>
      </c>
      <c r="N511" s="200">
        <v>14</v>
      </c>
      <c r="O511" s="200"/>
      <c r="P511" s="231" t="str">
        <f>VLOOKUP(Ruimtestaat[[#This Row],[Ruimte code]],Ruimtegroepen[#All],4,FALSE)</f>
        <v>B  (Bureauruimte)</v>
      </c>
      <c r="Q511" s="201"/>
      <c r="R511" s="202">
        <v>42</v>
      </c>
      <c r="S511" s="202" t="s">
        <v>2</v>
      </c>
      <c r="T511" s="202">
        <f>IF(R511&gt;0,IF(RIGHT(Ruimtestaat[[#This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11" s="202">
        <f>IF(T511&gt;0,VLOOKUP($J511,Ruimtegroepen[],3,FALSE)*VLOOKUP($L511,Vloersoorten[],3,FALSE)*VLOOKUP($S511,Frequenties[],3,FALSE)*VLOOKUP($A511,Locaties[],3,FALSE),0)</f>
        <v>0</v>
      </c>
      <c r="V511" s="202">
        <f>Ruimtestaat[[#This Row],[Uitvoeringen werkdagen]]*Ruimtestaat[[#This Row],[Oppervlak (netto)]]</f>
        <v>2940</v>
      </c>
      <c r="W511" s="242">
        <f>IF(U511&gt;0,Ruimtestaat[[#This Row],[Prest. (m2 /jaar) werkdagen]]/Ruimtestaat[[#This Row],[Norm (m2/uur) werkdagen]],0)</f>
        <v>0</v>
      </c>
      <c r="X511" s="243">
        <f>Ruimtestaat[[#This Row],[uren / jaar werkdagen]]*Tariefsopbouw!$D$38</f>
        <v>0</v>
      </c>
      <c r="Y511" s="33"/>
      <c r="Z511" s="33">
        <f>IF(Ruimtestaat[[#This Row],[Frequentie weekend]]&gt;0,VALUE(LEFT(Y511,1))*R511,0)</f>
        <v>0</v>
      </c>
      <c r="AA511" s="33">
        <f>IF($Z511&gt;0,VLOOKUP($J511,Ruimtegroepen[],3,FALSE)*VLOOKUP($L511,Vloersoorten[],3,FALSE)*VLOOKUP($Y511,Frequenties[],3,FALSE)*VLOOKUP(#REF!,Locaties[],3,FALSE),0)</f>
        <v>0</v>
      </c>
      <c r="AB511" s="33"/>
      <c r="AC511" s="33"/>
      <c r="AD511" s="33">
        <f>Ruimtestaat[[#This Row],[uren / jaar weekend]]*Tariefsopbouw!$D$40</f>
        <v>0</v>
      </c>
      <c r="AE511" s="86">
        <f>Ruimtestaat[[#This Row],[Prest. (m2 /jaar) weekend]]+Ruimtestaat[[#This Row],[Prest. (m2 /jaar) werkdagen]]</f>
        <v>2940</v>
      </c>
      <c r="AF511" s="86">
        <f>Ruimtestaat[[#This Row],[uren / jaar weekend]]+Ruimtestaat[[#This Row],[uren / jaar werkdagen]]</f>
        <v>0</v>
      </c>
      <c r="AG511" s="87">
        <f>Ruimtestaat[[#This Row],[kosten / jaar weekend]]+Ruimtestaat[[#This Row],[kosten / jaar werkdagen]]</f>
        <v>0</v>
      </c>
    </row>
    <row r="512" spans="1:33" ht="15" customHeight="1">
      <c r="A512" s="187">
        <v>5</v>
      </c>
      <c r="B512" s="21" t="str">
        <f>VLOOKUP(Ruimtestaat[[#This Row],[Code]],Locaties[#All],2,FALSE)</f>
        <v>Potskamp</v>
      </c>
      <c r="C512" s="231" t="str">
        <f>VLOOKUP(Ruimtestaat[[#This Row],[Code]],Locaties[#All],4,FALSE)</f>
        <v>Potskampstraat 2</v>
      </c>
      <c r="D512" s="231" t="str">
        <f>VLOOKUP(Ruimtestaat[[#This Row],[Code]],Locaties[#All],5,FALSE)</f>
        <v>7573 CC</v>
      </c>
      <c r="E512" s="187" t="str">
        <f>VLOOKUP(Ruimtestaat[[#This Row],[Code]],Locaties[#All],6,FALSE)</f>
        <v>Oldenzaal</v>
      </c>
      <c r="F512" s="232"/>
      <c r="G512" s="187" t="s">
        <v>679</v>
      </c>
      <c r="H512" s="187">
        <v>64</v>
      </c>
      <c r="I512" s="232" t="s">
        <v>754</v>
      </c>
      <c r="J512" s="187">
        <v>2</v>
      </c>
      <c r="K512" s="187" t="str">
        <f>VLOOKUP(Ruimtestaat[[#This Row],[Ruimte code]],Ruimtegroepen[#All],2,FALSE)</f>
        <v>Kantoren/kantoortuin</v>
      </c>
      <c r="L512" s="187" t="s">
        <v>109</v>
      </c>
      <c r="M512" s="187" t="s">
        <v>1203</v>
      </c>
      <c r="N512" s="200">
        <v>22</v>
      </c>
      <c r="O512" s="200"/>
      <c r="P512" s="231" t="str">
        <f>VLOOKUP(Ruimtestaat[[#This Row],[Ruimte code]],Ruimtegroepen[#All],4,FALSE)</f>
        <v>B  (Bureauruimte)</v>
      </c>
      <c r="Q512" s="201"/>
      <c r="R512" s="202">
        <v>42</v>
      </c>
      <c r="S512" s="202" t="s">
        <v>2</v>
      </c>
      <c r="T512" s="202">
        <f>IF(R512&gt;0,IF(RIGHT(Ruimtestaat[[#This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12" s="202">
        <f>IF(T512&gt;0,VLOOKUP($J512,Ruimtegroepen[],3,FALSE)*VLOOKUP($L512,Vloersoorten[],3,FALSE)*VLOOKUP($S512,Frequenties[],3,FALSE)*VLOOKUP($A512,Locaties[],3,FALSE),0)</f>
        <v>0</v>
      </c>
      <c r="V512" s="202">
        <f>Ruimtestaat[[#This Row],[Uitvoeringen werkdagen]]*Ruimtestaat[[#This Row],[Oppervlak (netto)]]</f>
        <v>4620</v>
      </c>
      <c r="W512" s="242">
        <f>IF(U512&gt;0,Ruimtestaat[[#This Row],[Prest. (m2 /jaar) werkdagen]]/Ruimtestaat[[#This Row],[Norm (m2/uur) werkdagen]],0)</f>
        <v>0</v>
      </c>
      <c r="X512" s="243">
        <f>Ruimtestaat[[#This Row],[uren / jaar werkdagen]]*Tariefsopbouw!$D$38</f>
        <v>0</v>
      </c>
      <c r="Y512" s="33"/>
      <c r="Z512" s="33">
        <f>IF(Ruimtestaat[[#This Row],[Frequentie weekend]]&gt;0,VALUE(LEFT(Y512,1))*R512,0)</f>
        <v>0</v>
      </c>
      <c r="AA512" s="33">
        <f>IF($Z512&gt;0,VLOOKUP($J512,Ruimtegroepen[],3,FALSE)*VLOOKUP($L512,Vloersoorten[],3,FALSE)*VLOOKUP($Y512,Frequenties[],3,FALSE)*VLOOKUP(#REF!,Locaties[],3,FALSE),0)</f>
        <v>0</v>
      </c>
      <c r="AB512" s="33"/>
      <c r="AC512" s="33"/>
      <c r="AD512" s="33">
        <f>Ruimtestaat[[#This Row],[uren / jaar weekend]]*Tariefsopbouw!$D$40</f>
        <v>0</v>
      </c>
      <c r="AE512" s="86">
        <f>Ruimtestaat[[#This Row],[Prest. (m2 /jaar) weekend]]+Ruimtestaat[[#This Row],[Prest. (m2 /jaar) werkdagen]]</f>
        <v>4620</v>
      </c>
      <c r="AF512" s="86">
        <f>Ruimtestaat[[#This Row],[uren / jaar weekend]]+Ruimtestaat[[#This Row],[uren / jaar werkdagen]]</f>
        <v>0</v>
      </c>
      <c r="AG512" s="87">
        <f>Ruimtestaat[[#This Row],[kosten / jaar weekend]]+Ruimtestaat[[#This Row],[kosten / jaar werkdagen]]</f>
        <v>0</v>
      </c>
    </row>
    <row r="513" spans="1:33" ht="15" customHeight="1">
      <c r="A513" s="187">
        <v>5</v>
      </c>
      <c r="B513" s="21" t="str">
        <f>VLOOKUP(Ruimtestaat[[#This Row],[Code]],Locaties[#All],2,FALSE)</f>
        <v>Potskamp</v>
      </c>
      <c r="C513" s="231" t="str">
        <f>VLOOKUP(Ruimtestaat[[#This Row],[Code]],Locaties[#All],4,FALSE)</f>
        <v>Potskampstraat 2</v>
      </c>
      <c r="D513" s="231" t="str">
        <f>VLOOKUP(Ruimtestaat[[#This Row],[Code]],Locaties[#All],5,FALSE)</f>
        <v>7573 CC</v>
      </c>
      <c r="E513" s="187" t="str">
        <f>VLOOKUP(Ruimtestaat[[#This Row],[Code]],Locaties[#All],6,FALSE)</f>
        <v>Oldenzaal</v>
      </c>
      <c r="F513" s="232"/>
      <c r="G513" s="187" t="s">
        <v>679</v>
      </c>
      <c r="H513" s="187">
        <v>53</v>
      </c>
      <c r="I513" s="232" t="s">
        <v>755</v>
      </c>
      <c r="J513" s="187">
        <v>2</v>
      </c>
      <c r="K513" s="187" t="str">
        <f>VLOOKUP(Ruimtestaat[[#This Row],[Ruimte code]],Ruimtegroepen[#All],2,FALSE)</f>
        <v>Kantoren/kantoortuin</v>
      </c>
      <c r="L513" s="187" t="s">
        <v>109</v>
      </c>
      <c r="M513" s="187" t="s">
        <v>1203</v>
      </c>
      <c r="N513" s="200">
        <v>14</v>
      </c>
      <c r="O513" s="200"/>
      <c r="P513" s="231" t="str">
        <f>VLOOKUP(Ruimtestaat[[#This Row],[Ruimte code]],Ruimtegroepen[#All],4,FALSE)</f>
        <v>B  (Bureauruimte)</v>
      </c>
      <c r="Q513" s="201"/>
      <c r="R513" s="202">
        <v>42</v>
      </c>
      <c r="S513" s="202" t="s">
        <v>2</v>
      </c>
      <c r="T513" s="202">
        <f>IF(R513&gt;0,IF(RIGHT(Ruimtestaat[[#This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13" s="202">
        <f>IF(T513&gt;0,VLOOKUP($J513,Ruimtegroepen[],3,FALSE)*VLOOKUP($L513,Vloersoorten[],3,FALSE)*VLOOKUP($S513,Frequenties[],3,FALSE)*VLOOKUP($A513,Locaties[],3,FALSE),0)</f>
        <v>0</v>
      </c>
      <c r="V513" s="202">
        <f>Ruimtestaat[[#This Row],[Uitvoeringen werkdagen]]*Ruimtestaat[[#This Row],[Oppervlak (netto)]]</f>
        <v>2940</v>
      </c>
      <c r="W513" s="242">
        <f>IF(U513&gt;0,Ruimtestaat[[#This Row],[Prest. (m2 /jaar) werkdagen]]/Ruimtestaat[[#This Row],[Norm (m2/uur) werkdagen]],0)</f>
        <v>0</v>
      </c>
      <c r="X513" s="243">
        <f>Ruimtestaat[[#This Row],[uren / jaar werkdagen]]*Tariefsopbouw!$D$38</f>
        <v>0</v>
      </c>
      <c r="Y513" s="33"/>
      <c r="Z513" s="33">
        <f>IF(Ruimtestaat[[#This Row],[Frequentie weekend]]&gt;0,VALUE(LEFT(Y513,1))*R513,0)</f>
        <v>0</v>
      </c>
      <c r="AA513" s="33">
        <f>IF($Z513&gt;0,VLOOKUP($J513,Ruimtegroepen[],3,FALSE)*VLOOKUP($L513,Vloersoorten[],3,FALSE)*VLOOKUP($Y513,Frequenties[],3,FALSE)*VLOOKUP(#REF!,Locaties[],3,FALSE),0)</f>
        <v>0</v>
      </c>
      <c r="AB513" s="33"/>
      <c r="AC513" s="33"/>
      <c r="AD513" s="33">
        <f>Ruimtestaat[[#This Row],[uren / jaar weekend]]*Tariefsopbouw!$D$40</f>
        <v>0</v>
      </c>
      <c r="AE513" s="86">
        <f>Ruimtestaat[[#This Row],[Prest. (m2 /jaar) weekend]]+Ruimtestaat[[#This Row],[Prest. (m2 /jaar) werkdagen]]</f>
        <v>2940</v>
      </c>
      <c r="AF513" s="86">
        <f>Ruimtestaat[[#This Row],[uren / jaar weekend]]+Ruimtestaat[[#This Row],[uren / jaar werkdagen]]</f>
        <v>0</v>
      </c>
      <c r="AG513" s="87">
        <f>Ruimtestaat[[#This Row],[kosten / jaar weekend]]+Ruimtestaat[[#This Row],[kosten / jaar werkdagen]]</f>
        <v>0</v>
      </c>
    </row>
    <row r="514" spans="1:33" ht="15" customHeight="1">
      <c r="A514" s="187">
        <v>5</v>
      </c>
      <c r="B514" s="21" t="str">
        <f>VLOOKUP(Ruimtestaat[[#This Row],[Code]],Locaties[#All],2,FALSE)</f>
        <v>Potskamp</v>
      </c>
      <c r="C514" s="231" t="str">
        <f>VLOOKUP(Ruimtestaat[[#This Row],[Code]],Locaties[#All],4,FALSE)</f>
        <v>Potskampstraat 2</v>
      </c>
      <c r="D514" s="231" t="str">
        <f>VLOOKUP(Ruimtestaat[[#This Row],[Code]],Locaties[#All],5,FALSE)</f>
        <v>7573 CC</v>
      </c>
      <c r="E514" s="187" t="str">
        <f>VLOOKUP(Ruimtestaat[[#This Row],[Code]],Locaties[#All],6,FALSE)</f>
        <v>Oldenzaal</v>
      </c>
      <c r="F514" s="232"/>
      <c r="G514" s="187" t="s">
        <v>679</v>
      </c>
      <c r="H514" s="187"/>
      <c r="I514" s="232" t="s">
        <v>372</v>
      </c>
      <c r="J514" s="187">
        <v>6</v>
      </c>
      <c r="K514" s="187" t="str">
        <f>VLOOKUP(Ruimtestaat[[#This Row],[Ruimte code]],Ruimtegroepen[#All],2,FALSE)</f>
        <v>Gangen/hallen</v>
      </c>
      <c r="L514" s="231" t="s">
        <v>677</v>
      </c>
      <c r="M514" s="187" t="s">
        <v>1200</v>
      </c>
      <c r="N514" s="200">
        <v>74</v>
      </c>
      <c r="O514" s="200"/>
      <c r="P514" s="231" t="str">
        <f>VLOOKUP(Ruimtestaat[[#This Row],[Ruimte code]],Ruimtegroepen[#All],4,FALSE)</f>
        <v>V  (Verkeersruimte)</v>
      </c>
      <c r="Q514" s="201"/>
      <c r="R514" s="202">
        <v>42</v>
      </c>
      <c r="S514" s="202" t="s">
        <v>2</v>
      </c>
      <c r="T514" s="202">
        <f>IF(R514&gt;0,IF(RIGHT(Ruimtestaat[[#This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14" s="202">
        <f>IF(T514&gt;0,VLOOKUP($J514,Ruimtegroepen[],3,FALSE)*VLOOKUP($L514,Vloersoorten[],3,FALSE)*VLOOKUP($S514,Frequenties[],3,FALSE)*VLOOKUP($A514,Locaties[],3,FALSE),0)</f>
        <v>0</v>
      </c>
      <c r="V514" s="202">
        <f>Ruimtestaat[[#This Row],[Uitvoeringen werkdagen]]*Ruimtestaat[[#This Row],[Oppervlak (netto)]]</f>
        <v>15540</v>
      </c>
      <c r="W514" s="242">
        <f>IF(U514&gt;0,Ruimtestaat[[#This Row],[Prest. (m2 /jaar) werkdagen]]/Ruimtestaat[[#This Row],[Norm (m2/uur) werkdagen]],0)</f>
        <v>0</v>
      </c>
      <c r="X514" s="243">
        <f>Ruimtestaat[[#This Row],[uren / jaar werkdagen]]*Tariefsopbouw!$D$38</f>
        <v>0</v>
      </c>
      <c r="Y514" s="33"/>
      <c r="Z514" s="33">
        <f>IF(Ruimtestaat[[#This Row],[Frequentie weekend]]&gt;0,VALUE(LEFT(Y514,1))*R514,0)</f>
        <v>0</v>
      </c>
      <c r="AA514" s="33">
        <f>IF($Z514&gt;0,VLOOKUP($J514,Ruimtegroepen[],3,FALSE)*VLOOKUP($L514,Vloersoorten[],3,FALSE)*VLOOKUP($Y514,Frequenties[],3,FALSE)*VLOOKUP(#REF!,Locaties[],3,FALSE),0)</f>
        <v>0</v>
      </c>
      <c r="AB514" s="33"/>
      <c r="AC514" s="33"/>
      <c r="AD514" s="33">
        <f>Ruimtestaat[[#This Row],[uren / jaar weekend]]*Tariefsopbouw!$D$40</f>
        <v>0</v>
      </c>
      <c r="AE514" s="86">
        <f>Ruimtestaat[[#This Row],[Prest. (m2 /jaar) weekend]]+Ruimtestaat[[#This Row],[Prest. (m2 /jaar) werkdagen]]</f>
        <v>15540</v>
      </c>
      <c r="AF514" s="86">
        <f>Ruimtestaat[[#This Row],[uren / jaar weekend]]+Ruimtestaat[[#This Row],[uren / jaar werkdagen]]</f>
        <v>0</v>
      </c>
      <c r="AG514" s="87">
        <f>Ruimtestaat[[#This Row],[kosten / jaar weekend]]+Ruimtestaat[[#This Row],[kosten / jaar werkdagen]]</f>
        <v>0</v>
      </c>
    </row>
    <row r="515" spans="1:33" ht="15" customHeight="1">
      <c r="A515" s="187">
        <v>5</v>
      </c>
      <c r="B515" s="21" t="str">
        <f>VLOOKUP(Ruimtestaat[[#This Row],[Code]],Locaties[#All],2,FALSE)</f>
        <v>Potskamp</v>
      </c>
      <c r="C515" s="231" t="str">
        <f>VLOOKUP(Ruimtestaat[[#This Row],[Code]],Locaties[#All],4,FALSE)</f>
        <v>Potskampstraat 2</v>
      </c>
      <c r="D515" s="231" t="str">
        <f>VLOOKUP(Ruimtestaat[[#This Row],[Code]],Locaties[#All],5,FALSE)</f>
        <v>7573 CC</v>
      </c>
      <c r="E515" s="187" t="str">
        <f>VLOOKUP(Ruimtestaat[[#This Row],[Code]],Locaties[#All],6,FALSE)</f>
        <v>Oldenzaal</v>
      </c>
      <c r="F515" s="232"/>
      <c r="G515" s="187" t="s">
        <v>679</v>
      </c>
      <c r="H515" s="187">
        <v>72</v>
      </c>
      <c r="I515" s="232" t="s">
        <v>604</v>
      </c>
      <c r="J515" s="245">
        <v>16</v>
      </c>
      <c r="K515" s="245" t="str">
        <f>VLOOKUP(Ruimtestaat[[#This Row],[Ruimte code]],Ruimtegroepen[#All],2,FALSE)</f>
        <v>Leslokalen/computerlokaal</v>
      </c>
      <c r="L515" s="231" t="s">
        <v>677</v>
      </c>
      <c r="M515" s="187" t="s">
        <v>1200</v>
      </c>
      <c r="N515" s="200">
        <v>47</v>
      </c>
      <c r="O515" s="200"/>
      <c r="P515" s="231" t="str">
        <f>VLOOKUP(Ruimtestaat[[#This Row],[Ruimte code]],Ruimtegroepen[#All],4,FALSE)</f>
        <v>L  (Lesruimte)</v>
      </c>
      <c r="Q515" s="201"/>
      <c r="R515" s="202">
        <v>42</v>
      </c>
      <c r="S515" s="202" t="s">
        <v>2</v>
      </c>
      <c r="T515" s="202">
        <f>IF(R515&gt;0,IF(RIGHT(Ruimtestaat[[#This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15" s="202">
        <f>IF(T515&gt;0,VLOOKUP($J515,Ruimtegroepen[],3,FALSE)*VLOOKUP($L515,Vloersoorten[],3,FALSE)*VLOOKUP($S515,Frequenties[],3,FALSE)*VLOOKUP($A515,Locaties[],3,FALSE),0)</f>
        <v>0</v>
      </c>
      <c r="V515" s="202">
        <f>Ruimtestaat[[#This Row],[Uitvoeringen werkdagen]]*Ruimtestaat[[#This Row],[Oppervlak (netto)]]</f>
        <v>9870</v>
      </c>
      <c r="W515" s="242">
        <f>IF(U515&gt;0,Ruimtestaat[[#This Row],[Prest. (m2 /jaar) werkdagen]]/Ruimtestaat[[#This Row],[Norm (m2/uur) werkdagen]],0)</f>
        <v>0</v>
      </c>
      <c r="X515" s="243">
        <f>Ruimtestaat[[#This Row],[uren / jaar werkdagen]]*Tariefsopbouw!$D$38</f>
        <v>0</v>
      </c>
      <c r="Y515" s="33"/>
      <c r="Z515" s="33">
        <f>IF(Ruimtestaat[[#This Row],[Frequentie weekend]]&gt;0,VALUE(LEFT(Y515,1))*R515,0)</f>
        <v>0</v>
      </c>
      <c r="AA515" s="33">
        <f>IF($Z515&gt;0,VLOOKUP($J515,Ruimtegroepen[],3,FALSE)*VLOOKUP($L515,Vloersoorten[],3,FALSE)*VLOOKUP($Y515,Frequenties[],3,FALSE)*VLOOKUP(#REF!,Locaties[],3,FALSE),0)</f>
        <v>0</v>
      </c>
      <c r="AB515" s="33"/>
      <c r="AC515" s="33"/>
      <c r="AD515" s="33">
        <f>Ruimtestaat[[#This Row],[uren / jaar weekend]]*Tariefsopbouw!$D$40</f>
        <v>0</v>
      </c>
      <c r="AE515" s="86">
        <f>Ruimtestaat[[#This Row],[Prest. (m2 /jaar) weekend]]+Ruimtestaat[[#This Row],[Prest. (m2 /jaar) werkdagen]]</f>
        <v>9870</v>
      </c>
      <c r="AF515" s="86">
        <f>Ruimtestaat[[#This Row],[uren / jaar weekend]]+Ruimtestaat[[#This Row],[uren / jaar werkdagen]]</f>
        <v>0</v>
      </c>
      <c r="AG515" s="87">
        <f>Ruimtestaat[[#This Row],[kosten / jaar weekend]]+Ruimtestaat[[#This Row],[kosten / jaar werkdagen]]</f>
        <v>0</v>
      </c>
    </row>
    <row r="516" spans="1:33" ht="15" customHeight="1">
      <c r="A516" s="187">
        <v>5</v>
      </c>
      <c r="B516" s="21" t="str">
        <f>VLOOKUP(Ruimtestaat[[#This Row],[Code]],Locaties[#All],2,FALSE)</f>
        <v>Potskamp</v>
      </c>
      <c r="C516" s="231" t="str">
        <f>VLOOKUP(Ruimtestaat[[#This Row],[Code]],Locaties[#All],4,FALSE)</f>
        <v>Potskampstraat 2</v>
      </c>
      <c r="D516" s="231" t="str">
        <f>VLOOKUP(Ruimtestaat[[#This Row],[Code]],Locaties[#All],5,FALSE)</f>
        <v>7573 CC</v>
      </c>
      <c r="E516" s="187" t="str">
        <f>VLOOKUP(Ruimtestaat[[#This Row],[Code]],Locaties[#All],6,FALSE)</f>
        <v>Oldenzaal</v>
      </c>
      <c r="F516" s="232"/>
      <c r="G516" s="187" t="s">
        <v>679</v>
      </c>
      <c r="H516" s="187">
        <v>71</v>
      </c>
      <c r="I516" s="232" t="s">
        <v>604</v>
      </c>
      <c r="J516" s="231">
        <v>16</v>
      </c>
      <c r="K516" s="231" t="str">
        <f>VLOOKUP(Ruimtestaat[[#This Row],[Ruimte code]],Ruimtegroepen[#All],2,FALSE)</f>
        <v>Leslokalen/computerlokaal</v>
      </c>
      <c r="L516" s="231" t="s">
        <v>677</v>
      </c>
      <c r="M516" s="187" t="s">
        <v>1200</v>
      </c>
      <c r="N516" s="200">
        <v>47</v>
      </c>
      <c r="O516" s="200"/>
      <c r="P516" s="231" t="str">
        <f>VLOOKUP(Ruimtestaat[[#This Row],[Ruimte code]],Ruimtegroepen[#All],4,FALSE)</f>
        <v>L  (Lesruimte)</v>
      </c>
      <c r="Q516" s="201"/>
      <c r="R516" s="202">
        <v>42</v>
      </c>
      <c r="S516" s="202" t="s">
        <v>2</v>
      </c>
      <c r="T516" s="202">
        <f>IF(R516&gt;0,IF(RIGHT(Ruimtestaat[[#This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16" s="202">
        <f>IF(T516&gt;0,VLOOKUP($J516,Ruimtegroepen[],3,FALSE)*VLOOKUP($L516,Vloersoorten[],3,FALSE)*VLOOKUP($S516,Frequenties[],3,FALSE)*VLOOKUP($A516,Locaties[],3,FALSE),0)</f>
        <v>0</v>
      </c>
      <c r="V516" s="202">
        <f>Ruimtestaat[[#This Row],[Uitvoeringen werkdagen]]*Ruimtestaat[[#This Row],[Oppervlak (netto)]]</f>
        <v>9870</v>
      </c>
      <c r="W516" s="242">
        <f>IF(U516&gt;0,Ruimtestaat[[#This Row],[Prest. (m2 /jaar) werkdagen]]/Ruimtestaat[[#This Row],[Norm (m2/uur) werkdagen]],0)</f>
        <v>0</v>
      </c>
      <c r="X516" s="243">
        <f>Ruimtestaat[[#This Row],[uren / jaar werkdagen]]*Tariefsopbouw!$D$38</f>
        <v>0</v>
      </c>
      <c r="Y516" s="33"/>
      <c r="Z516" s="33">
        <f>IF(Ruimtestaat[[#This Row],[Frequentie weekend]]&gt;0,VALUE(LEFT(Y516,1))*R516,0)</f>
        <v>0</v>
      </c>
      <c r="AA516" s="33">
        <f>IF($Z516&gt;0,VLOOKUP($J516,Ruimtegroepen[],3,FALSE)*VLOOKUP($L516,Vloersoorten[],3,FALSE)*VLOOKUP($Y516,Frequenties[],3,FALSE)*VLOOKUP(#REF!,Locaties[],3,FALSE),0)</f>
        <v>0</v>
      </c>
      <c r="AB516" s="33"/>
      <c r="AC516" s="33"/>
      <c r="AD516" s="33">
        <f>Ruimtestaat[[#This Row],[uren / jaar weekend]]*Tariefsopbouw!$D$40</f>
        <v>0</v>
      </c>
      <c r="AE516" s="86">
        <f>Ruimtestaat[[#This Row],[Prest. (m2 /jaar) weekend]]+Ruimtestaat[[#This Row],[Prest. (m2 /jaar) werkdagen]]</f>
        <v>9870</v>
      </c>
      <c r="AF516" s="86">
        <f>Ruimtestaat[[#This Row],[uren / jaar weekend]]+Ruimtestaat[[#This Row],[uren / jaar werkdagen]]</f>
        <v>0</v>
      </c>
      <c r="AG516" s="87">
        <f>Ruimtestaat[[#This Row],[kosten / jaar weekend]]+Ruimtestaat[[#This Row],[kosten / jaar werkdagen]]</f>
        <v>0</v>
      </c>
    </row>
    <row r="517" spans="1:33" ht="15" customHeight="1">
      <c r="A517" s="187">
        <v>5</v>
      </c>
      <c r="B517" s="21" t="str">
        <f>VLOOKUP(Ruimtestaat[[#This Row],[Code]],Locaties[#All],2,FALSE)</f>
        <v>Potskamp</v>
      </c>
      <c r="C517" s="231" t="str">
        <f>VLOOKUP(Ruimtestaat[[#This Row],[Code]],Locaties[#All],4,FALSE)</f>
        <v>Potskampstraat 2</v>
      </c>
      <c r="D517" s="231" t="str">
        <f>VLOOKUP(Ruimtestaat[[#This Row],[Code]],Locaties[#All],5,FALSE)</f>
        <v>7573 CC</v>
      </c>
      <c r="E517" s="187" t="str">
        <f>VLOOKUP(Ruimtestaat[[#This Row],[Code]],Locaties[#All],6,FALSE)</f>
        <v>Oldenzaal</v>
      </c>
      <c r="F517" s="232"/>
      <c r="G517" s="187" t="s">
        <v>679</v>
      </c>
      <c r="H517" s="187">
        <v>70</v>
      </c>
      <c r="I517" s="232" t="s">
        <v>756</v>
      </c>
      <c r="J517" s="187">
        <v>16</v>
      </c>
      <c r="K517" s="187" t="str">
        <f>VLOOKUP(Ruimtestaat[[#This Row],[Ruimte code]],Ruimtegroepen[#All],2,FALSE)</f>
        <v>Leslokalen/computerlokaal</v>
      </c>
      <c r="L517" s="231" t="s">
        <v>677</v>
      </c>
      <c r="M517" s="187" t="s">
        <v>1200</v>
      </c>
      <c r="N517" s="200">
        <v>28</v>
      </c>
      <c r="O517" s="200"/>
      <c r="P517" s="231" t="str">
        <f>VLOOKUP(Ruimtestaat[[#This Row],[Ruimte code]],Ruimtegroepen[#All],4,FALSE)</f>
        <v>L  (Lesruimte)</v>
      </c>
      <c r="Q517" s="201"/>
      <c r="R517" s="202">
        <v>42</v>
      </c>
      <c r="S517" s="202" t="s">
        <v>2</v>
      </c>
      <c r="T517" s="202">
        <f>IF(R517&gt;0,IF(RIGHT(Ruimtestaat[[#This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17" s="202">
        <f>IF(T517&gt;0,VLOOKUP($J517,Ruimtegroepen[],3,FALSE)*VLOOKUP($L517,Vloersoorten[],3,FALSE)*VLOOKUP($S517,Frequenties[],3,FALSE)*VLOOKUP($A517,Locaties[],3,FALSE),0)</f>
        <v>0</v>
      </c>
      <c r="V517" s="202">
        <f>Ruimtestaat[[#This Row],[Uitvoeringen werkdagen]]*Ruimtestaat[[#This Row],[Oppervlak (netto)]]</f>
        <v>5880</v>
      </c>
      <c r="W517" s="242">
        <f>IF(U517&gt;0,Ruimtestaat[[#This Row],[Prest. (m2 /jaar) werkdagen]]/Ruimtestaat[[#This Row],[Norm (m2/uur) werkdagen]],0)</f>
        <v>0</v>
      </c>
      <c r="X517" s="243">
        <f>Ruimtestaat[[#This Row],[uren / jaar werkdagen]]*Tariefsopbouw!$D$38</f>
        <v>0</v>
      </c>
      <c r="Y517" s="33"/>
      <c r="Z517" s="33">
        <f>IF(Ruimtestaat[[#This Row],[Frequentie weekend]]&gt;0,VALUE(LEFT(Y517,1))*R517,0)</f>
        <v>0</v>
      </c>
      <c r="AA517" s="33">
        <f>IF($Z517&gt;0,VLOOKUP($J517,Ruimtegroepen[],3,FALSE)*VLOOKUP($L517,Vloersoorten[],3,FALSE)*VLOOKUP($Y517,Frequenties[],3,FALSE)*VLOOKUP(#REF!,Locaties[],3,FALSE),0)</f>
        <v>0</v>
      </c>
      <c r="AB517" s="33"/>
      <c r="AC517" s="33"/>
      <c r="AD517" s="33">
        <f>Ruimtestaat[[#This Row],[uren / jaar weekend]]*Tariefsopbouw!$D$40</f>
        <v>0</v>
      </c>
      <c r="AE517" s="86">
        <f>Ruimtestaat[[#This Row],[Prest. (m2 /jaar) weekend]]+Ruimtestaat[[#This Row],[Prest. (m2 /jaar) werkdagen]]</f>
        <v>5880</v>
      </c>
      <c r="AF517" s="86">
        <f>Ruimtestaat[[#This Row],[uren / jaar weekend]]+Ruimtestaat[[#This Row],[uren / jaar werkdagen]]</f>
        <v>0</v>
      </c>
      <c r="AG517" s="87">
        <f>Ruimtestaat[[#This Row],[kosten / jaar weekend]]+Ruimtestaat[[#This Row],[kosten / jaar werkdagen]]</f>
        <v>0</v>
      </c>
    </row>
    <row r="518" spans="1:33" ht="15" customHeight="1">
      <c r="A518" s="187">
        <v>5</v>
      </c>
      <c r="B518" s="21" t="str">
        <f>VLOOKUP(Ruimtestaat[[#This Row],[Code]],Locaties[#All],2,FALSE)</f>
        <v>Potskamp</v>
      </c>
      <c r="C518" s="231" t="str">
        <f>VLOOKUP(Ruimtestaat[[#This Row],[Code]],Locaties[#All],4,FALSE)</f>
        <v>Potskampstraat 2</v>
      </c>
      <c r="D518" s="231" t="str">
        <f>VLOOKUP(Ruimtestaat[[#This Row],[Code]],Locaties[#All],5,FALSE)</f>
        <v>7573 CC</v>
      </c>
      <c r="E518" s="187" t="str">
        <f>VLOOKUP(Ruimtestaat[[#This Row],[Code]],Locaties[#All],6,FALSE)</f>
        <v>Oldenzaal</v>
      </c>
      <c r="F518" s="232"/>
      <c r="G518" s="187" t="s">
        <v>679</v>
      </c>
      <c r="H518" s="187"/>
      <c r="I518" s="232" t="s">
        <v>372</v>
      </c>
      <c r="J518" s="187">
        <v>6</v>
      </c>
      <c r="K518" s="187" t="str">
        <f>VLOOKUP(Ruimtestaat[[#This Row],[Ruimte code]],Ruimtegroepen[#All],2,FALSE)</f>
        <v>Gangen/hallen</v>
      </c>
      <c r="L518" s="231" t="s">
        <v>677</v>
      </c>
      <c r="M518" s="187" t="s">
        <v>1200</v>
      </c>
      <c r="N518" s="200">
        <v>120</v>
      </c>
      <c r="O518" s="200"/>
      <c r="P518" s="231" t="str">
        <f>VLOOKUP(Ruimtestaat[[#This Row],[Ruimte code]],Ruimtegroepen[#All],4,FALSE)</f>
        <v>V  (Verkeersruimte)</v>
      </c>
      <c r="Q518" s="201"/>
      <c r="R518" s="202">
        <v>42</v>
      </c>
      <c r="S518" s="202" t="s">
        <v>2</v>
      </c>
      <c r="T518" s="202">
        <f>IF(R518&gt;0,IF(RIGHT(Ruimtestaat[[#This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18" s="202">
        <f>IF(T518&gt;0,VLOOKUP($J518,Ruimtegroepen[],3,FALSE)*VLOOKUP($L518,Vloersoorten[],3,FALSE)*VLOOKUP($S518,Frequenties[],3,FALSE)*VLOOKUP($A518,Locaties[],3,FALSE),0)</f>
        <v>0</v>
      </c>
      <c r="V518" s="202">
        <f>Ruimtestaat[[#This Row],[Uitvoeringen werkdagen]]*Ruimtestaat[[#This Row],[Oppervlak (netto)]]</f>
        <v>25200</v>
      </c>
      <c r="W518" s="242">
        <f>IF(U518&gt;0,Ruimtestaat[[#This Row],[Prest. (m2 /jaar) werkdagen]]/Ruimtestaat[[#This Row],[Norm (m2/uur) werkdagen]],0)</f>
        <v>0</v>
      </c>
      <c r="X518" s="243">
        <f>Ruimtestaat[[#This Row],[uren / jaar werkdagen]]*Tariefsopbouw!$D$38</f>
        <v>0</v>
      </c>
      <c r="Y518" s="33"/>
      <c r="Z518" s="33">
        <f>IF(Ruimtestaat[[#This Row],[Frequentie weekend]]&gt;0,VALUE(LEFT(Y518,1))*R518,0)</f>
        <v>0</v>
      </c>
      <c r="AA518" s="33">
        <f>IF($Z518&gt;0,VLOOKUP($J518,Ruimtegroepen[],3,FALSE)*VLOOKUP($L518,Vloersoorten[],3,FALSE)*VLOOKUP($Y518,Frequenties[],3,FALSE)*VLOOKUP(#REF!,Locaties[],3,FALSE),0)</f>
        <v>0</v>
      </c>
      <c r="AB518" s="33"/>
      <c r="AC518" s="33"/>
      <c r="AD518" s="33">
        <f>Ruimtestaat[[#This Row],[uren / jaar weekend]]*Tariefsopbouw!$D$40</f>
        <v>0</v>
      </c>
      <c r="AE518" s="86">
        <f>Ruimtestaat[[#This Row],[Prest. (m2 /jaar) weekend]]+Ruimtestaat[[#This Row],[Prest. (m2 /jaar) werkdagen]]</f>
        <v>25200</v>
      </c>
      <c r="AF518" s="86">
        <f>Ruimtestaat[[#This Row],[uren / jaar weekend]]+Ruimtestaat[[#This Row],[uren / jaar werkdagen]]</f>
        <v>0</v>
      </c>
      <c r="AG518" s="87">
        <f>Ruimtestaat[[#This Row],[kosten / jaar weekend]]+Ruimtestaat[[#This Row],[kosten / jaar werkdagen]]</f>
        <v>0</v>
      </c>
    </row>
    <row r="519" spans="1:33" ht="15" customHeight="1">
      <c r="A519" s="187">
        <v>5</v>
      </c>
      <c r="B519" s="21" t="str">
        <f>VLOOKUP(Ruimtestaat[[#This Row],[Code]],Locaties[#All],2,FALSE)</f>
        <v>Potskamp</v>
      </c>
      <c r="C519" s="231" t="str">
        <f>VLOOKUP(Ruimtestaat[[#This Row],[Code]],Locaties[#All],4,FALSE)</f>
        <v>Potskampstraat 2</v>
      </c>
      <c r="D519" s="231" t="str">
        <f>VLOOKUP(Ruimtestaat[[#This Row],[Code]],Locaties[#All],5,FALSE)</f>
        <v>7573 CC</v>
      </c>
      <c r="E519" s="187" t="str">
        <f>VLOOKUP(Ruimtestaat[[#This Row],[Code]],Locaties[#All],6,FALSE)</f>
        <v>Oldenzaal</v>
      </c>
      <c r="F519" s="232"/>
      <c r="G519" s="187" t="s">
        <v>679</v>
      </c>
      <c r="H519" s="187">
        <v>56</v>
      </c>
      <c r="I519" s="232" t="s">
        <v>757</v>
      </c>
      <c r="J519" s="187">
        <v>14</v>
      </c>
      <c r="K519" s="187" t="str">
        <f>VLOOKUP(Ruimtestaat[[#This Row],[Ruimte code]],Ruimtegroepen[#All],2,FALSE)</f>
        <v>Praktijklokalen/kabinet</v>
      </c>
      <c r="L519" s="187" t="s">
        <v>109</v>
      </c>
      <c r="M519" s="187" t="s">
        <v>1212</v>
      </c>
      <c r="N519" s="200">
        <v>160</v>
      </c>
      <c r="O519" s="200"/>
      <c r="P519" s="231" t="str">
        <f>VLOOKUP(Ruimtestaat[[#This Row],[Ruimte code]],Ruimtegroepen[#All],4,FALSE)</f>
        <v>L  (Lesruimte)</v>
      </c>
      <c r="Q519" s="201"/>
      <c r="R519" s="202">
        <v>42</v>
      </c>
      <c r="S519" s="202" t="s">
        <v>2</v>
      </c>
      <c r="T519" s="202">
        <f>IF(R519&gt;0,IF(RIGHT(Ruimtestaat[[#This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19" s="202">
        <f>IF(T519&gt;0,VLOOKUP($J519,Ruimtegroepen[],3,FALSE)*VLOOKUP($L519,Vloersoorten[],3,FALSE)*VLOOKUP($S519,Frequenties[],3,FALSE)*VLOOKUP($A519,Locaties[],3,FALSE),0)</f>
        <v>0</v>
      </c>
      <c r="V519" s="202">
        <f>Ruimtestaat[[#This Row],[Uitvoeringen werkdagen]]*Ruimtestaat[[#This Row],[Oppervlak (netto)]]</f>
        <v>33600</v>
      </c>
      <c r="W519" s="242">
        <f>IF(U519&gt;0,Ruimtestaat[[#This Row],[Prest. (m2 /jaar) werkdagen]]/Ruimtestaat[[#This Row],[Norm (m2/uur) werkdagen]],0)</f>
        <v>0</v>
      </c>
      <c r="X519" s="243">
        <f>Ruimtestaat[[#This Row],[uren / jaar werkdagen]]*Tariefsopbouw!$D$38</f>
        <v>0</v>
      </c>
      <c r="Y519" s="33"/>
      <c r="Z519" s="33">
        <f>IF(Ruimtestaat[[#This Row],[Frequentie weekend]]&gt;0,VALUE(LEFT(Y519,1))*R519,0)</f>
        <v>0</v>
      </c>
      <c r="AA519" s="33">
        <f>IF($Z519&gt;0,VLOOKUP($J519,Ruimtegroepen[],3,FALSE)*VLOOKUP($L519,Vloersoorten[],3,FALSE)*VLOOKUP($Y519,Frequenties[],3,FALSE)*VLOOKUP(#REF!,Locaties[],3,FALSE),0)</f>
        <v>0</v>
      </c>
      <c r="AB519" s="33"/>
      <c r="AC519" s="33"/>
      <c r="AD519" s="33">
        <f>Ruimtestaat[[#This Row],[uren / jaar weekend]]*Tariefsopbouw!$D$40</f>
        <v>0</v>
      </c>
      <c r="AE519" s="86">
        <f>Ruimtestaat[[#This Row],[Prest. (m2 /jaar) weekend]]+Ruimtestaat[[#This Row],[Prest. (m2 /jaar) werkdagen]]</f>
        <v>33600</v>
      </c>
      <c r="AF519" s="86">
        <f>Ruimtestaat[[#This Row],[uren / jaar weekend]]+Ruimtestaat[[#This Row],[uren / jaar werkdagen]]</f>
        <v>0</v>
      </c>
      <c r="AG519" s="87">
        <f>Ruimtestaat[[#This Row],[kosten / jaar weekend]]+Ruimtestaat[[#This Row],[kosten / jaar werkdagen]]</f>
        <v>0</v>
      </c>
    </row>
    <row r="520" spans="1:33" ht="15" customHeight="1">
      <c r="A520" s="187">
        <v>5</v>
      </c>
      <c r="B520" s="21" t="str">
        <f>VLOOKUP(Ruimtestaat[[#This Row],[Code]],Locaties[#All],2,FALSE)</f>
        <v>Potskamp</v>
      </c>
      <c r="C520" s="231" t="str">
        <f>VLOOKUP(Ruimtestaat[[#This Row],[Code]],Locaties[#All],4,FALSE)</f>
        <v>Potskampstraat 2</v>
      </c>
      <c r="D520" s="231" t="str">
        <f>VLOOKUP(Ruimtestaat[[#This Row],[Code]],Locaties[#All],5,FALSE)</f>
        <v>7573 CC</v>
      </c>
      <c r="E520" s="187" t="str">
        <f>VLOOKUP(Ruimtestaat[[#This Row],[Code]],Locaties[#All],6,FALSE)</f>
        <v>Oldenzaal</v>
      </c>
      <c r="F520" s="232"/>
      <c r="G520" s="187" t="s">
        <v>679</v>
      </c>
      <c r="H520" s="187">
        <v>57</v>
      </c>
      <c r="I520" s="232" t="s">
        <v>757</v>
      </c>
      <c r="J520" s="187">
        <v>14</v>
      </c>
      <c r="K520" s="187" t="str">
        <f>VLOOKUP(Ruimtestaat[[#This Row],[Ruimte code]],Ruimtegroepen[#All],2,FALSE)</f>
        <v>Praktijklokalen/kabinet</v>
      </c>
      <c r="L520" s="187" t="s">
        <v>109</v>
      </c>
      <c r="M520" s="187" t="s">
        <v>1212</v>
      </c>
      <c r="N520" s="200">
        <v>160</v>
      </c>
      <c r="O520" s="200"/>
      <c r="P520" s="231" t="str">
        <f>VLOOKUP(Ruimtestaat[[#This Row],[Ruimte code]],Ruimtegroepen[#All],4,FALSE)</f>
        <v>L  (Lesruimte)</v>
      </c>
      <c r="Q520" s="201"/>
      <c r="R520" s="202">
        <v>42</v>
      </c>
      <c r="S520" s="202" t="s">
        <v>2</v>
      </c>
      <c r="T520" s="202">
        <f>IF(R520&gt;0,IF(RIGHT(Ruimtestaat[[#This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20" s="202">
        <f>IF(T520&gt;0,VLOOKUP($J520,Ruimtegroepen[],3,FALSE)*VLOOKUP($L520,Vloersoorten[],3,FALSE)*VLOOKUP($S520,Frequenties[],3,FALSE)*VLOOKUP($A520,Locaties[],3,FALSE),0)</f>
        <v>0</v>
      </c>
      <c r="V520" s="202">
        <f>Ruimtestaat[[#This Row],[Uitvoeringen werkdagen]]*Ruimtestaat[[#This Row],[Oppervlak (netto)]]</f>
        <v>33600</v>
      </c>
      <c r="W520" s="242">
        <f>IF(U520&gt;0,Ruimtestaat[[#This Row],[Prest. (m2 /jaar) werkdagen]]/Ruimtestaat[[#This Row],[Norm (m2/uur) werkdagen]],0)</f>
        <v>0</v>
      </c>
      <c r="X520" s="243">
        <f>Ruimtestaat[[#This Row],[uren / jaar werkdagen]]*Tariefsopbouw!$D$38</f>
        <v>0</v>
      </c>
      <c r="Y520" s="33"/>
      <c r="Z520" s="33">
        <f>IF(Ruimtestaat[[#This Row],[Frequentie weekend]]&gt;0,VALUE(LEFT(Y520,1))*R520,0)</f>
        <v>0</v>
      </c>
      <c r="AA520" s="33">
        <f>IF($Z520&gt;0,VLOOKUP($J520,Ruimtegroepen[],3,FALSE)*VLOOKUP($L520,Vloersoorten[],3,FALSE)*VLOOKUP($Y520,Frequenties[],3,FALSE)*VLOOKUP(#REF!,Locaties[],3,FALSE),0)</f>
        <v>0</v>
      </c>
      <c r="AB520" s="33"/>
      <c r="AC520" s="33"/>
      <c r="AD520" s="33">
        <f>Ruimtestaat[[#This Row],[uren / jaar weekend]]*Tariefsopbouw!$D$40</f>
        <v>0</v>
      </c>
      <c r="AE520" s="86">
        <f>Ruimtestaat[[#This Row],[Prest. (m2 /jaar) weekend]]+Ruimtestaat[[#This Row],[Prest. (m2 /jaar) werkdagen]]</f>
        <v>33600</v>
      </c>
      <c r="AF520" s="86">
        <f>Ruimtestaat[[#This Row],[uren / jaar weekend]]+Ruimtestaat[[#This Row],[uren / jaar werkdagen]]</f>
        <v>0</v>
      </c>
      <c r="AG520" s="87">
        <f>Ruimtestaat[[#This Row],[kosten / jaar weekend]]+Ruimtestaat[[#This Row],[kosten / jaar werkdagen]]</f>
        <v>0</v>
      </c>
    </row>
    <row r="521" spans="1:33" ht="15" customHeight="1">
      <c r="A521" s="187">
        <v>5</v>
      </c>
      <c r="B521" s="21" t="str">
        <f>VLOOKUP(Ruimtestaat[[#This Row],[Code]],Locaties[#All],2,FALSE)</f>
        <v>Potskamp</v>
      </c>
      <c r="C521" s="231" t="str">
        <f>VLOOKUP(Ruimtestaat[[#This Row],[Code]],Locaties[#All],4,FALSE)</f>
        <v>Potskampstraat 2</v>
      </c>
      <c r="D521" s="231" t="str">
        <f>VLOOKUP(Ruimtestaat[[#This Row],[Code]],Locaties[#All],5,FALSE)</f>
        <v>7573 CC</v>
      </c>
      <c r="E521" s="187" t="str">
        <f>VLOOKUP(Ruimtestaat[[#This Row],[Code]],Locaties[#All],6,FALSE)</f>
        <v>Oldenzaal</v>
      </c>
      <c r="F521" s="232"/>
      <c r="G521" s="187">
        <v>1</v>
      </c>
      <c r="H521" s="187"/>
      <c r="I521" s="232" t="s">
        <v>500</v>
      </c>
      <c r="J521" s="231">
        <v>10</v>
      </c>
      <c r="K521" s="231" t="str">
        <f>VLOOKUP(Ruimtestaat[[#This Row],[Ruimte code]],Ruimtegroepen[#All],2,FALSE)</f>
        <v>Trappenhuizen/lift</v>
      </c>
      <c r="L521" s="202" t="s">
        <v>108</v>
      </c>
      <c r="M521" s="187" t="s">
        <v>1209</v>
      </c>
      <c r="N521" s="200">
        <v>24</v>
      </c>
      <c r="O521" s="200"/>
      <c r="P521" s="231" t="str">
        <f>VLOOKUP(Ruimtestaat[[#This Row],[Ruimte code]],Ruimtegroepen[#All],4,FALSE)</f>
        <v>V  (Verkeersruimte)</v>
      </c>
      <c r="Q521" s="201"/>
      <c r="R521" s="202">
        <v>42</v>
      </c>
      <c r="S521" s="202" t="s">
        <v>2</v>
      </c>
      <c r="T521" s="202">
        <f>IF(R521&gt;0,IF(RIGHT(Ruimtestaat[[#This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21" s="202">
        <f>IF(T521&gt;0,VLOOKUP($J521,Ruimtegroepen[],3,FALSE)*VLOOKUP($L521,Vloersoorten[],3,FALSE)*VLOOKUP($S521,Frequenties[],3,FALSE)*VLOOKUP($A521,Locaties[],3,FALSE),0)</f>
        <v>0</v>
      </c>
      <c r="V521" s="202">
        <f>Ruimtestaat[[#This Row],[Uitvoeringen werkdagen]]*Ruimtestaat[[#This Row],[Oppervlak (netto)]]</f>
        <v>5040</v>
      </c>
      <c r="W521" s="242">
        <f>IF(U521&gt;0,Ruimtestaat[[#This Row],[Prest. (m2 /jaar) werkdagen]]/Ruimtestaat[[#This Row],[Norm (m2/uur) werkdagen]],0)</f>
        <v>0</v>
      </c>
      <c r="X521" s="243">
        <f>Ruimtestaat[[#This Row],[uren / jaar werkdagen]]*Tariefsopbouw!$D$38</f>
        <v>0</v>
      </c>
      <c r="Y521" s="33"/>
      <c r="Z521" s="33">
        <f>IF(Ruimtestaat[[#This Row],[Frequentie weekend]]&gt;0,VALUE(LEFT(Y521,1))*R521,0)</f>
        <v>0</v>
      </c>
      <c r="AA521" s="33">
        <f>IF($Z521&gt;0,VLOOKUP($J521,Ruimtegroepen[],3,FALSE)*VLOOKUP($L521,Vloersoorten[],3,FALSE)*VLOOKUP($Y521,Frequenties[],3,FALSE)*VLOOKUP(#REF!,Locaties[],3,FALSE),0)</f>
        <v>0</v>
      </c>
      <c r="AB521" s="33"/>
      <c r="AC521" s="33"/>
      <c r="AD521" s="33">
        <f>Ruimtestaat[[#This Row],[uren / jaar weekend]]*Tariefsopbouw!$D$40</f>
        <v>0</v>
      </c>
      <c r="AE521" s="86">
        <f>Ruimtestaat[[#This Row],[Prest. (m2 /jaar) weekend]]+Ruimtestaat[[#This Row],[Prest. (m2 /jaar) werkdagen]]</f>
        <v>5040</v>
      </c>
      <c r="AF521" s="86">
        <f>Ruimtestaat[[#This Row],[uren / jaar weekend]]+Ruimtestaat[[#This Row],[uren / jaar werkdagen]]</f>
        <v>0</v>
      </c>
      <c r="AG521" s="87">
        <f>Ruimtestaat[[#This Row],[kosten / jaar weekend]]+Ruimtestaat[[#This Row],[kosten / jaar werkdagen]]</f>
        <v>0</v>
      </c>
    </row>
    <row r="522" spans="1:33" ht="15" customHeight="1">
      <c r="A522" s="187">
        <v>5</v>
      </c>
      <c r="B522" s="21" t="str">
        <f>VLOOKUP(Ruimtestaat[[#This Row],[Code]],Locaties[#All],2,FALSE)</f>
        <v>Potskamp</v>
      </c>
      <c r="C522" s="231" t="str">
        <f>VLOOKUP(Ruimtestaat[[#This Row],[Code]],Locaties[#All],4,FALSE)</f>
        <v>Potskampstraat 2</v>
      </c>
      <c r="D522" s="231" t="str">
        <f>VLOOKUP(Ruimtestaat[[#This Row],[Code]],Locaties[#All],5,FALSE)</f>
        <v>7573 CC</v>
      </c>
      <c r="E522" s="187" t="str">
        <f>VLOOKUP(Ruimtestaat[[#This Row],[Code]],Locaties[#All],6,FALSE)</f>
        <v>Oldenzaal</v>
      </c>
      <c r="F522" s="232"/>
      <c r="G522" s="202">
        <v>1</v>
      </c>
      <c r="H522" s="202" t="s">
        <v>758</v>
      </c>
      <c r="I522" s="241" t="s">
        <v>627</v>
      </c>
      <c r="J522" s="187">
        <v>9</v>
      </c>
      <c r="K522" s="187" t="str">
        <f>VLOOKUP(Ruimtestaat[[#This Row],[Ruimte code]],Ruimtegroepen[#All],2,FALSE)</f>
        <v>Bibliotheek / OLC</v>
      </c>
      <c r="L522" s="231" t="s">
        <v>1204</v>
      </c>
      <c r="M522" s="187" t="s">
        <v>1205</v>
      </c>
      <c r="N522" s="200">
        <v>45</v>
      </c>
      <c r="O522" s="200"/>
      <c r="P522" s="231" t="str">
        <f>VLOOKUP(Ruimtestaat[[#This Row],[Ruimte code]],Ruimtegroepen[#All],4,FALSE)</f>
        <v>L  (Lesruimte)</v>
      </c>
      <c r="Q522" s="201"/>
      <c r="R522" s="202">
        <v>42</v>
      </c>
      <c r="S522" s="202" t="s">
        <v>2</v>
      </c>
      <c r="T522" s="202">
        <f>IF(R522&gt;0,IF(RIGHT(Ruimtestaat[[#This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22" s="202">
        <f>IF(T522&gt;0,VLOOKUP($J522,Ruimtegroepen[],3,FALSE)*VLOOKUP($L522,Vloersoorten[],3,FALSE)*VLOOKUP($S522,Frequenties[],3,FALSE)*VLOOKUP($A522,Locaties[],3,FALSE),0)</f>
        <v>0</v>
      </c>
      <c r="V522" s="202">
        <f>Ruimtestaat[[#This Row],[Uitvoeringen werkdagen]]*Ruimtestaat[[#This Row],[Oppervlak (netto)]]</f>
        <v>9450</v>
      </c>
      <c r="W522" s="242">
        <f>IF(U522&gt;0,Ruimtestaat[[#This Row],[Prest. (m2 /jaar) werkdagen]]/Ruimtestaat[[#This Row],[Norm (m2/uur) werkdagen]],0)</f>
        <v>0</v>
      </c>
      <c r="X522" s="243">
        <f>Ruimtestaat[[#This Row],[uren / jaar werkdagen]]*Tariefsopbouw!$D$38</f>
        <v>0</v>
      </c>
      <c r="Y522" s="33"/>
      <c r="Z522" s="33">
        <f>IF(Ruimtestaat[[#This Row],[Frequentie weekend]]&gt;0,VALUE(LEFT(Y522,1))*R522,0)</f>
        <v>0</v>
      </c>
      <c r="AA522" s="33">
        <f>IF($Z522&gt;0,VLOOKUP($J522,Ruimtegroepen[],3,FALSE)*VLOOKUP($L522,Vloersoorten[],3,FALSE)*VLOOKUP($Y522,Frequenties[],3,FALSE)*VLOOKUP(#REF!,Locaties[],3,FALSE),0)</f>
        <v>0</v>
      </c>
      <c r="AB522" s="33"/>
      <c r="AC522" s="33"/>
      <c r="AD522" s="33">
        <f>Ruimtestaat[[#This Row],[uren / jaar weekend]]*Tariefsopbouw!$D$40</f>
        <v>0</v>
      </c>
      <c r="AE522" s="86">
        <f>Ruimtestaat[[#This Row],[Prest. (m2 /jaar) weekend]]+Ruimtestaat[[#This Row],[Prest. (m2 /jaar) werkdagen]]</f>
        <v>9450</v>
      </c>
      <c r="AF522" s="86">
        <f>Ruimtestaat[[#This Row],[uren / jaar weekend]]+Ruimtestaat[[#This Row],[uren / jaar werkdagen]]</f>
        <v>0</v>
      </c>
      <c r="AG522" s="87">
        <f>Ruimtestaat[[#This Row],[kosten / jaar weekend]]+Ruimtestaat[[#This Row],[kosten / jaar werkdagen]]</f>
        <v>0</v>
      </c>
    </row>
    <row r="523" spans="1:33" ht="15" customHeight="1">
      <c r="A523" s="187">
        <v>5</v>
      </c>
      <c r="B523" s="21" t="str">
        <f>VLOOKUP(Ruimtestaat[[#This Row],[Code]],Locaties[#All],2,FALSE)</f>
        <v>Potskamp</v>
      </c>
      <c r="C523" s="231" t="str">
        <f>VLOOKUP(Ruimtestaat[[#This Row],[Code]],Locaties[#All],4,FALSE)</f>
        <v>Potskampstraat 2</v>
      </c>
      <c r="D523" s="231" t="str">
        <f>VLOOKUP(Ruimtestaat[[#This Row],[Code]],Locaties[#All],5,FALSE)</f>
        <v>7573 CC</v>
      </c>
      <c r="E523" s="187" t="str">
        <f>VLOOKUP(Ruimtestaat[[#This Row],[Code]],Locaties[#All],6,FALSE)</f>
        <v>Oldenzaal</v>
      </c>
      <c r="F523" s="232"/>
      <c r="G523" s="202">
        <v>1</v>
      </c>
      <c r="H523" s="187">
        <v>111</v>
      </c>
      <c r="I523" s="232" t="s">
        <v>759</v>
      </c>
      <c r="J523" s="231">
        <v>16</v>
      </c>
      <c r="K523" s="231" t="str">
        <f>VLOOKUP(Ruimtestaat[[#This Row],[Ruimte code]],Ruimtegroepen[#All],2,FALSE)</f>
        <v>Leslokalen/computerlokaal</v>
      </c>
      <c r="L523" s="187" t="s">
        <v>109</v>
      </c>
      <c r="M523" s="187" t="s">
        <v>1203</v>
      </c>
      <c r="N523" s="200">
        <v>72</v>
      </c>
      <c r="O523" s="200"/>
      <c r="P523" s="231" t="str">
        <f>VLOOKUP(Ruimtestaat[[#This Row],[Ruimte code]],Ruimtegroepen[#All],4,FALSE)</f>
        <v>L  (Lesruimte)</v>
      </c>
      <c r="Q523" s="201"/>
      <c r="R523" s="202">
        <v>42</v>
      </c>
      <c r="S523" s="202" t="s">
        <v>2</v>
      </c>
      <c r="T523" s="202">
        <f>IF(R523&gt;0,IF(RIGHT(Ruimtestaat[[#This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23" s="202">
        <f>IF(T523&gt;0,VLOOKUP($J523,Ruimtegroepen[],3,FALSE)*VLOOKUP($L523,Vloersoorten[],3,FALSE)*VLOOKUP($S523,Frequenties[],3,FALSE)*VLOOKUP($A523,Locaties[],3,FALSE),0)</f>
        <v>0</v>
      </c>
      <c r="V523" s="202">
        <f>Ruimtestaat[[#This Row],[Uitvoeringen werkdagen]]*Ruimtestaat[[#This Row],[Oppervlak (netto)]]</f>
        <v>15120</v>
      </c>
      <c r="W523" s="242">
        <f>IF(U523&gt;0,Ruimtestaat[[#This Row],[Prest. (m2 /jaar) werkdagen]]/Ruimtestaat[[#This Row],[Norm (m2/uur) werkdagen]],0)</f>
        <v>0</v>
      </c>
      <c r="X523" s="243">
        <f>Ruimtestaat[[#This Row],[uren / jaar werkdagen]]*Tariefsopbouw!$D$38</f>
        <v>0</v>
      </c>
      <c r="Y523" s="33"/>
      <c r="Z523" s="33">
        <f>IF(Ruimtestaat[[#This Row],[Frequentie weekend]]&gt;0,VALUE(LEFT(Y523,1))*R523,0)</f>
        <v>0</v>
      </c>
      <c r="AA523" s="33">
        <f>IF($Z523&gt;0,VLOOKUP($J523,Ruimtegroepen[],3,FALSE)*VLOOKUP($L523,Vloersoorten[],3,FALSE)*VLOOKUP($Y523,Frequenties[],3,FALSE)*VLOOKUP(#REF!,Locaties[],3,FALSE),0)</f>
        <v>0</v>
      </c>
      <c r="AB523" s="33"/>
      <c r="AC523" s="33"/>
      <c r="AD523" s="33">
        <f>Ruimtestaat[[#This Row],[uren / jaar weekend]]*Tariefsopbouw!$D$40</f>
        <v>0</v>
      </c>
      <c r="AE523" s="86">
        <f>Ruimtestaat[[#This Row],[Prest. (m2 /jaar) weekend]]+Ruimtestaat[[#This Row],[Prest. (m2 /jaar) werkdagen]]</f>
        <v>15120</v>
      </c>
      <c r="AF523" s="86">
        <f>Ruimtestaat[[#This Row],[uren / jaar weekend]]+Ruimtestaat[[#This Row],[uren / jaar werkdagen]]</f>
        <v>0</v>
      </c>
      <c r="AG523" s="87">
        <f>Ruimtestaat[[#This Row],[kosten / jaar weekend]]+Ruimtestaat[[#This Row],[kosten / jaar werkdagen]]</f>
        <v>0</v>
      </c>
    </row>
    <row r="524" spans="1:33" ht="15" customHeight="1">
      <c r="A524" s="187">
        <v>5</v>
      </c>
      <c r="B524" s="21" t="str">
        <f>VLOOKUP(Ruimtestaat[[#This Row],[Code]],Locaties[#All],2,FALSE)</f>
        <v>Potskamp</v>
      </c>
      <c r="C524" s="231" t="str">
        <f>VLOOKUP(Ruimtestaat[[#This Row],[Code]],Locaties[#All],4,FALSE)</f>
        <v>Potskampstraat 2</v>
      </c>
      <c r="D524" s="231" t="str">
        <f>VLOOKUP(Ruimtestaat[[#This Row],[Code]],Locaties[#All],5,FALSE)</f>
        <v>7573 CC</v>
      </c>
      <c r="E524" s="187" t="str">
        <f>VLOOKUP(Ruimtestaat[[#This Row],[Code]],Locaties[#All],6,FALSE)</f>
        <v>Oldenzaal</v>
      </c>
      <c r="F524" s="232"/>
      <c r="G524" s="202">
        <v>1</v>
      </c>
      <c r="H524" s="187">
        <v>110</v>
      </c>
      <c r="I524" s="232" t="s">
        <v>604</v>
      </c>
      <c r="J524" s="231">
        <v>16</v>
      </c>
      <c r="K524" s="231" t="str">
        <f>VLOOKUP(Ruimtestaat[[#This Row],[Ruimte code]],Ruimtegroepen[#All],2,FALSE)</f>
        <v>Leslokalen/computerlokaal</v>
      </c>
      <c r="L524" s="187" t="s">
        <v>109</v>
      </c>
      <c r="M524" s="187" t="s">
        <v>1203</v>
      </c>
      <c r="N524" s="200">
        <v>71</v>
      </c>
      <c r="O524" s="200"/>
      <c r="P524" s="231" t="str">
        <f>VLOOKUP(Ruimtestaat[[#This Row],[Ruimte code]],Ruimtegroepen[#All],4,FALSE)</f>
        <v>L  (Lesruimte)</v>
      </c>
      <c r="Q524" s="201"/>
      <c r="R524" s="202">
        <v>42</v>
      </c>
      <c r="S524" s="202" t="s">
        <v>2</v>
      </c>
      <c r="T524" s="202">
        <f>IF(R524&gt;0,IF(RIGHT(Ruimtestaat[[#This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24" s="202">
        <f>IF(T524&gt;0,VLOOKUP($J524,Ruimtegroepen[],3,FALSE)*VLOOKUP($L524,Vloersoorten[],3,FALSE)*VLOOKUP($S524,Frequenties[],3,FALSE)*VLOOKUP($A524,Locaties[],3,FALSE),0)</f>
        <v>0</v>
      </c>
      <c r="V524" s="202">
        <f>Ruimtestaat[[#This Row],[Uitvoeringen werkdagen]]*Ruimtestaat[[#This Row],[Oppervlak (netto)]]</f>
        <v>14910</v>
      </c>
      <c r="W524" s="242">
        <f>IF(U524&gt;0,Ruimtestaat[[#This Row],[Prest. (m2 /jaar) werkdagen]]/Ruimtestaat[[#This Row],[Norm (m2/uur) werkdagen]],0)</f>
        <v>0</v>
      </c>
      <c r="X524" s="243">
        <f>Ruimtestaat[[#This Row],[uren / jaar werkdagen]]*Tariefsopbouw!$D$38</f>
        <v>0</v>
      </c>
      <c r="Y524" s="33"/>
      <c r="Z524" s="33">
        <f>IF(Ruimtestaat[[#This Row],[Frequentie weekend]]&gt;0,VALUE(LEFT(Y524,1))*R524,0)</f>
        <v>0</v>
      </c>
      <c r="AA524" s="33">
        <f>IF($Z524&gt;0,VLOOKUP($J524,Ruimtegroepen[],3,FALSE)*VLOOKUP($L524,Vloersoorten[],3,FALSE)*VLOOKUP($Y524,Frequenties[],3,FALSE)*VLOOKUP(#REF!,Locaties[],3,FALSE),0)</f>
        <v>0</v>
      </c>
      <c r="AB524" s="33"/>
      <c r="AC524" s="33"/>
      <c r="AD524" s="33">
        <f>Ruimtestaat[[#This Row],[uren / jaar weekend]]*Tariefsopbouw!$D$40</f>
        <v>0</v>
      </c>
      <c r="AE524" s="86">
        <f>Ruimtestaat[[#This Row],[Prest. (m2 /jaar) weekend]]+Ruimtestaat[[#This Row],[Prest. (m2 /jaar) werkdagen]]</f>
        <v>14910</v>
      </c>
      <c r="AF524" s="86">
        <f>Ruimtestaat[[#This Row],[uren / jaar weekend]]+Ruimtestaat[[#This Row],[uren / jaar werkdagen]]</f>
        <v>0</v>
      </c>
      <c r="AG524" s="87">
        <f>Ruimtestaat[[#This Row],[kosten / jaar weekend]]+Ruimtestaat[[#This Row],[kosten / jaar werkdagen]]</f>
        <v>0</v>
      </c>
    </row>
    <row r="525" spans="1:33" ht="15" customHeight="1">
      <c r="A525" s="187">
        <v>5</v>
      </c>
      <c r="B525" s="21" t="str">
        <f>VLOOKUP(Ruimtestaat[[#This Row],[Code]],Locaties[#All],2,FALSE)</f>
        <v>Potskamp</v>
      </c>
      <c r="C525" s="231" t="str">
        <f>VLOOKUP(Ruimtestaat[[#This Row],[Code]],Locaties[#All],4,FALSE)</f>
        <v>Potskampstraat 2</v>
      </c>
      <c r="D525" s="231" t="str">
        <f>VLOOKUP(Ruimtestaat[[#This Row],[Code]],Locaties[#All],5,FALSE)</f>
        <v>7573 CC</v>
      </c>
      <c r="E525" s="187" t="str">
        <f>VLOOKUP(Ruimtestaat[[#This Row],[Code]],Locaties[#All],6,FALSE)</f>
        <v>Oldenzaal</v>
      </c>
      <c r="F525" s="232"/>
      <c r="G525" s="202">
        <v>1</v>
      </c>
      <c r="H525" s="187"/>
      <c r="I525" s="232" t="s">
        <v>372</v>
      </c>
      <c r="J525" s="187">
        <v>6</v>
      </c>
      <c r="K525" s="187" t="str">
        <f>VLOOKUP(Ruimtestaat[[#This Row],[Ruimte code]],Ruimtegroepen[#All],2,FALSE)</f>
        <v>Gangen/hallen</v>
      </c>
      <c r="L525" s="187" t="s">
        <v>109</v>
      </c>
      <c r="M525" s="187" t="s">
        <v>1203</v>
      </c>
      <c r="N525" s="200">
        <v>24</v>
      </c>
      <c r="O525" s="200"/>
      <c r="P525" s="231" t="str">
        <f>VLOOKUP(Ruimtestaat[[#This Row],[Ruimte code]],Ruimtegroepen[#All],4,FALSE)</f>
        <v>V  (Verkeersruimte)</v>
      </c>
      <c r="Q525" s="201"/>
      <c r="R525" s="202">
        <v>42</v>
      </c>
      <c r="S525" s="202" t="s">
        <v>2</v>
      </c>
      <c r="T525" s="202">
        <f>IF(R525&gt;0,IF(RIGHT(Ruimtestaat[[#This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25" s="202">
        <f>IF(T525&gt;0,VLOOKUP($J525,Ruimtegroepen[],3,FALSE)*VLOOKUP($L525,Vloersoorten[],3,FALSE)*VLOOKUP($S525,Frequenties[],3,FALSE)*VLOOKUP($A525,Locaties[],3,FALSE),0)</f>
        <v>0</v>
      </c>
      <c r="V525" s="202">
        <f>Ruimtestaat[[#This Row],[Uitvoeringen werkdagen]]*Ruimtestaat[[#This Row],[Oppervlak (netto)]]</f>
        <v>5040</v>
      </c>
      <c r="W525" s="242">
        <f>IF(U525&gt;0,Ruimtestaat[[#This Row],[Prest. (m2 /jaar) werkdagen]]/Ruimtestaat[[#This Row],[Norm (m2/uur) werkdagen]],0)</f>
        <v>0</v>
      </c>
      <c r="X525" s="243">
        <f>Ruimtestaat[[#This Row],[uren / jaar werkdagen]]*Tariefsopbouw!$D$38</f>
        <v>0</v>
      </c>
      <c r="Y525" s="33"/>
      <c r="Z525" s="33">
        <f>IF(Ruimtestaat[[#This Row],[Frequentie weekend]]&gt;0,VALUE(LEFT(Y525,1))*R525,0)</f>
        <v>0</v>
      </c>
      <c r="AA525" s="33">
        <f>IF($Z525&gt;0,VLOOKUP($J525,Ruimtegroepen[],3,FALSE)*VLOOKUP($L525,Vloersoorten[],3,FALSE)*VLOOKUP($Y525,Frequenties[],3,FALSE)*VLOOKUP(#REF!,Locaties[],3,FALSE),0)</f>
        <v>0</v>
      </c>
      <c r="AB525" s="33"/>
      <c r="AC525" s="33"/>
      <c r="AD525" s="33">
        <f>Ruimtestaat[[#This Row],[uren / jaar weekend]]*Tariefsopbouw!$D$40</f>
        <v>0</v>
      </c>
      <c r="AE525" s="86">
        <f>Ruimtestaat[[#This Row],[Prest. (m2 /jaar) weekend]]+Ruimtestaat[[#This Row],[Prest. (m2 /jaar) werkdagen]]</f>
        <v>5040</v>
      </c>
      <c r="AF525" s="86">
        <f>Ruimtestaat[[#This Row],[uren / jaar weekend]]+Ruimtestaat[[#This Row],[uren / jaar werkdagen]]</f>
        <v>0</v>
      </c>
      <c r="AG525" s="87">
        <f>Ruimtestaat[[#This Row],[kosten / jaar weekend]]+Ruimtestaat[[#This Row],[kosten / jaar werkdagen]]</f>
        <v>0</v>
      </c>
    </row>
    <row r="526" spans="1:33" ht="15" customHeight="1">
      <c r="A526" s="187">
        <v>5</v>
      </c>
      <c r="B526" s="21" t="str">
        <f>VLOOKUP(Ruimtestaat[[#This Row],[Code]],Locaties[#All],2,FALSE)</f>
        <v>Potskamp</v>
      </c>
      <c r="C526" s="231" t="str">
        <f>VLOOKUP(Ruimtestaat[[#This Row],[Code]],Locaties[#All],4,FALSE)</f>
        <v>Potskampstraat 2</v>
      </c>
      <c r="D526" s="231" t="str">
        <f>VLOOKUP(Ruimtestaat[[#This Row],[Code]],Locaties[#All],5,FALSE)</f>
        <v>7573 CC</v>
      </c>
      <c r="E526" s="187" t="str">
        <f>VLOOKUP(Ruimtestaat[[#This Row],[Code]],Locaties[#All],6,FALSE)</f>
        <v>Oldenzaal</v>
      </c>
      <c r="F526" s="232"/>
      <c r="G526" s="187">
        <v>1</v>
      </c>
      <c r="H526" s="187"/>
      <c r="I526" s="232" t="s">
        <v>698</v>
      </c>
      <c r="J526" s="187">
        <v>5</v>
      </c>
      <c r="K526" s="187" t="str">
        <f>VLOOKUP(Ruimtestaat[[#This Row],[Ruimte code]],Ruimtegroepen[#All],2,FALSE)</f>
        <v>Sanitair</v>
      </c>
      <c r="L526" s="202" t="s">
        <v>108</v>
      </c>
      <c r="M526" s="187" t="s">
        <v>1201</v>
      </c>
      <c r="N526" s="200">
        <v>10</v>
      </c>
      <c r="O526" s="200"/>
      <c r="P526" s="231" t="str">
        <f>VLOOKUP(Ruimtestaat[[#This Row],[Ruimte code]],Ruimtegroepen[#All],4,FALSE)</f>
        <v>S  (Sanitair)</v>
      </c>
      <c r="Q526" s="201"/>
      <c r="R526" s="202">
        <v>42</v>
      </c>
      <c r="S526" s="202" t="s">
        <v>19</v>
      </c>
      <c r="T526" s="202">
        <f>IF(R526&gt;0,IF(RIGHT(Ruimtestaat[[#This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526" s="202">
        <f>IF(T526&gt;0,VLOOKUP($J526,Ruimtegroepen[],3,FALSE)*VLOOKUP($L526,Vloersoorten[],3,FALSE)*VLOOKUP($S526,Frequenties[],3,FALSE)*VLOOKUP($A526,Locaties[],3,FALSE),0)</f>
        <v>0</v>
      </c>
      <c r="V526" s="202">
        <f>Ruimtestaat[[#This Row],[Uitvoeringen werkdagen]]*Ruimtestaat[[#This Row],[Oppervlak (netto)]]</f>
        <v>4200</v>
      </c>
      <c r="W526" s="242">
        <f>IF(U526&gt;0,Ruimtestaat[[#This Row],[Prest. (m2 /jaar) werkdagen]]/Ruimtestaat[[#This Row],[Norm (m2/uur) werkdagen]],0)</f>
        <v>0</v>
      </c>
      <c r="X526" s="243">
        <f>Ruimtestaat[[#This Row],[uren / jaar werkdagen]]*Tariefsopbouw!$D$38</f>
        <v>0</v>
      </c>
      <c r="Y526" s="33"/>
      <c r="Z526" s="33">
        <f>IF(Ruimtestaat[[#This Row],[Frequentie weekend]]&gt;0,VALUE(LEFT(Y526,1))*R526,0)</f>
        <v>0</v>
      </c>
      <c r="AA526" s="33">
        <f>IF($Z526&gt;0,VLOOKUP($J526,Ruimtegroepen[],3,FALSE)*VLOOKUP($L526,Vloersoorten[],3,FALSE)*VLOOKUP($Y526,Frequenties[],3,FALSE)*VLOOKUP(#REF!,Locaties[],3,FALSE),0)</f>
        <v>0</v>
      </c>
      <c r="AB526" s="33"/>
      <c r="AC526" s="33"/>
      <c r="AD526" s="33">
        <f>Ruimtestaat[[#This Row],[uren / jaar weekend]]*Tariefsopbouw!$D$40</f>
        <v>0</v>
      </c>
      <c r="AE526" s="86">
        <f>Ruimtestaat[[#This Row],[Prest. (m2 /jaar) weekend]]+Ruimtestaat[[#This Row],[Prest. (m2 /jaar) werkdagen]]</f>
        <v>4200</v>
      </c>
      <c r="AF526" s="86">
        <f>Ruimtestaat[[#This Row],[uren / jaar weekend]]+Ruimtestaat[[#This Row],[uren / jaar werkdagen]]</f>
        <v>0</v>
      </c>
      <c r="AG526" s="87">
        <f>Ruimtestaat[[#This Row],[kosten / jaar weekend]]+Ruimtestaat[[#This Row],[kosten / jaar werkdagen]]</f>
        <v>0</v>
      </c>
    </row>
    <row r="527" spans="1:33" ht="15" customHeight="1">
      <c r="A527" s="187">
        <v>5</v>
      </c>
      <c r="B527" s="21" t="str">
        <f>VLOOKUP(Ruimtestaat[[#This Row],[Code]],Locaties[#All],2,FALSE)</f>
        <v>Potskamp</v>
      </c>
      <c r="C527" s="231" t="str">
        <f>VLOOKUP(Ruimtestaat[[#This Row],[Code]],Locaties[#All],4,FALSE)</f>
        <v>Potskampstraat 2</v>
      </c>
      <c r="D527" s="231" t="str">
        <f>VLOOKUP(Ruimtestaat[[#This Row],[Code]],Locaties[#All],5,FALSE)</f>
        <v>7573 CC</v>
      </c>
      <c r="E527" s="187" t="str">
        <f>VLOOKUP(Ruimtestaat[[#This Row],[Code]],Locaties[#All],6,FALSE)</f>
        <v>Oldenzaal</v>
      </c>
      <c r="F527" s="232"/>
      <c r="G527" s="187">
        <v>1</v>
      </c>
      <c r="H527" s="187"/>
      <c r="I527" s="232" t="s">
        <v>596</v>
      </c>
      <c r="J527" s="187">
        <v>10</v>
      </c>
      <c r="K527" s="187" t="str">
        <f>VLOOKUP(Ruimtestaat[[#This Row],[Ruimte code]],Ruimtegroepen[#All],2,FALSE)</f>
        <v>Trappenhuizen/lift</v>
      </c>
      <c r="L527" s="202" t="s">
        <v>108</v>
      </c>
      <c r="M527" s="187" t="s">
        <v>1209</v>
      </c>
      <c r="N527" s="200">
        <v>30</v>
      </c>
      <c r="O527" s="200"/>
      <c r="P527" s="231" t="str">
        <f>VLOOKUP(Ruimtestaat[[#This Row],[Ruimte code]],Ruimtegroepen[#All],4,FALSE)</f>
        <v>V  (Verkeersruimte)</v>
      </c>
      <c r="Q527" s="201"/>
      <c r="R527" s="202">
        <v>42</v>
      </c>
      <c r="S527" s="202" t="s">
        <v>2</v>
      </c>
      <c r="T527" s="202">
        <f>IF(R527&gt;0,IF(RIGHT(Ruimtestaat[[#This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27" s="202">
        <f>IF(T527&gt;0,VLOOKUP($J527,Ruimtegroepen[],3,FALSE)*VLOOKUP($L527,Vloersoorten[],3,FALSE)*VLOOKUP($S527,Frequenties[],3,FALSE)*VLOOKUP($A527,Locaties[],3,FALSE),0)</f>
        <v>0</v>
      </c>
      <c r="V527" s="202">
        <f>Ruimtestaat[[#This Row],[Uitvoeringen werkdagen]]*Ruimtestaat[[#This Row],[Oppervlak (netto)]]</f>
        <v>6300</v>
      </c>
      <c r="W527" s="242">
        <f>IF(U527&gt;0,Ruimtestaat[[#This Row],[Prest. (m2 /jaar) werkdagen]]/Ruimtestaat[[#This Row],[Norm (m2/uur) werkdagen]],0)</f>
        <v>0</v>
      </c>
      <c r="X527" s="243">
        <f>Ruimtestaat[[#This Row],[uren / jaar werkdagen]]*Tariefsopbouw!$D$38</f>
        <v>0</v>
      </c>
      <c r="Y527" s="33"/>
      <c r="Z527" s="33">
        <f>IF(Ruimtestaat[[#This Row],[Frequentie weekend]]&gt;0,VALUE(LEFT(Y527,1))*R527,0)</f>
        <v>0</v>
      </c>
      <c r="AA527" s="33">
        <f>IF($Z527&gt;0,VLOOKUP($J527,Ruimtegroepen[],3,FALSE)*VLOOKUP($L527,Vloersoorten[],3,FALSE)*VLOOKUP($Y527,Frequenties[],3,FALSE)*VLOOKUP(#REF!,Locaties[],3,FALSE),0)</f>
        <v>0</v>
      </c>
      <c r="AB527" s="33"/>
      <c r="AC527" s="33"/>
      <c r="AD527" s="33">
        <f>Ruimtestaat[[#This Row],[uren / jaar weekend]]*Tariefsopbouw!$D$40</f>
        <v>0</v>
      </c>
      <c r="AE527" s="86">
        <f>Ruimtestaat[[#This Row],[Prest. (m2 /jaar) weekend]]+Ruimtestaat[[#This Row],[Prest. (m2 /jaar) werkdagen]]</f>
        <v>6300</v>
      </c>
      <c r="AF527" s="86">
        <f>Ruimtestaat[[#This Row],[uren / jaar weekend]]+Ruimtestaat[[#This Row],[uren / jaar werkdagen]]</f>
        <v>0</v>
      </c>
      <c r="AG527" s="87">
        <f>Ruimtestaat[[#This Row],[kosten / jaar weekend]]+Ruimtestaat[[#This Row],[kosten / jaar werkdagen]]</f>
        <v>0</v>
      </c>
    </row>
    <row r="528" spans="1:33" ht="15" customHeight="1">
      <c r="A528" s="187">
        <v>5</v>
      </c>
      <c r="B528" s="21" t="str">
        <f>VLOOKUP(Ruimtestaat[[#This Row],[Code]],Locaties[#All],2,FALSE)</f>
        <v>Potskamp</v>
      </c>
      <c r="C528" s="231" t="str">
        <f>VLOOKUP(Ruimtestaat[[#This Row],[Code]],Locaties[#All],4,FALSE)</f>
        <v>Potskampstraat 2</v>
      </c>
      <c r="D528" s="231" t="str">
        <f>VLOOKUP(Ruimtestaat[[#This Row],[Code]],Locaties[#All],5,FALSE)</f>
        <v>7573 CC</v>
      </c>
      <c r="E528" s="187" t="str">
        <f>VLOOKUP(Ruimtestaat[[#This Row],[Code]],Locaties[#All],6,FALSE)</f>
        <v>Oldenzaal</v>
      </c>
      <c r="F528" s="232"/>
      <c r="G528" s="187">
        <v>1</v>
      </c>
      <c r="H528" s="187"/>
      <c r="I528" s="232" t="s">
        <v>749</v>
      </c>
      <c r="J528" s="187">
        <v>10</v>
      </c>
      <c r="K528" s="187" t="str">
        <f>VLOOKUP(Ruimtestaat[[#This Row],[Ruimte code]],Ruimtegroepen[#All],2,FALSE)</f>
        <v>Trappenhuizen/lift</v>
      </c>
      <c r="L528" s="187" t="s">
        <v>109</v>
      </c>
      <c r="M528" s="187" t="s">
        <v>1203</v>
      </c>
      <c r="N528" s="200">
        <v>6</v>
      </c>
      <c r="O528" s="200"/>
      <c r="P528" s="231" t="str">
        <f>VLOOKUP(Ruimtestaat[[#This Row],[Ruimte code]],Ruimtegroepen[#All],4,FALSE)</f>
        <v>V  (Verkeersruimte)</v>
      </c>
      <c r="Q528" s="201"/>
      <c r="R528" s="202">
        <v>42</v>
      </c>
      <c r="S528" s="202" t="s">
        <v>2</v>
      </c>
      <c r="T528" s="202">
        <f>IF(R528&gt;0,IF(RIGHT(Ruimtestaat[[#This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28" s="202">
        <f>IF(T528&gt;0,VLOOKUP($J528,Ruimtegroepen[],3,FALSE)*VLOOKUP($L528,Vloersoorten[],3,FALSE)*VLOOKUP($S528,Frequenties[],3,FALSE)*VLOOKUP($A528,Locaties[],3,FALSE),0)</f>
        <v>0</v>
      </c>
      <c r="V528" s="202">
        <f>Ruimtestaat[[#This Row],[Uitvoeringen werkdagen]]*Ruimtestaat[[#This Row],[Oppervlak (netto)]]</f>
        <v>1260</v>
      </c>
      <c r="W528" s="242">
        <f>IF(U528&gt;0,Ruimtestaat[[#This Row],[Prest. (m2 /jaar) werkdagen]]/Ruimtestaat[[#This Row],[Norm (m2/uur) werkdagen]],0)</f>
        <v>0</v>
      </c>
      <c r="X528" s="243">
        <f>Ruimtestaat[[#This Row],[uren / jaar werkdagen]]*Tariefsopbouw!$D$38</f>
        <v>0</v>
      </c>
      <c r="Y528" s="33"/>
      <c r="Z528" s="33">
        <f>IF(Ruimtestaat[[#This Row],[Frequentie weekend]]&gt;0,VALUE(LEFT(Y528,1))*R528,0)</f>
        <v>0</v>
      </c>
      <c r="AA528" s="33">
        <f>IF($Z528&gt;0,VLOOKUP($J528,Ruimtegroepen[],3,FALSE)*VLOOKUP($L528,Vloersoorten[],3,FALSE)*VLOOKUP($Y528,Frequenties[],3,FALSE)*VLOOKUP(#REF!,Locaties[],3,FALSE),0)</f>
        <v>0</v>
      </c>
      <c r="AB528" s="33"/>
      <c r="AC528" s="33"/>
      <c r="AD528" s="33">
        <f>Ruimtestaat[[#This Row],[uren / jaar weekend]]*Tariefsopbouw!$D$40</f>
        <v>0</v>
      </c>
      <c r="AE528" s="86">
        <f>Ruimtestaat[[#This Row],[Prest. (m2 /jaar) weekend]]+Ruimtestaat[[#This Row],[Prest. (m2 /jaar) werkdagen]]</f>
        <v>1260</v>
      </c>
      <c r="AF528" s="86">
        <f>Ruimtestaat[[#This Row],[uren / jaar weekend]]+Ruimtestaat[[#This Row],[uren / jaar werkdagen]]</f>
        <v>0</v>
      </c>
      <c r="AG528" s="87">
        <f>Ruimtestaat[[#This Row],[kosten / jaar weekend]]+Ruimtestaat[[#This Row],[kosten / jaar werkdagen]]</f>
        <v>0</v>
      </c>
    </row>
    <row r="529" spans="1:33" ht="15" customHeight="1">
      <c r="A529" s="187">
        <v>5</v>
      </c>
      <c r="B529" s="21" t="str">
        <f>VLOOKUP(Ruimtestaat[[#This Row],[Code]],Locaties[#All],2,FALSE)</f>
        <v>Potskamp</v>
      </c>
      <c r="C529" s="231" t="str">
        <f>VLOOKUP(Ruimtestaat[[#This Row],[Code]],Locaties[#All],4,FALSE)</f>
        <v>Potskampstraat 2</v>
      </c>
      <c r="D529" s="231" t="str">
        <f>VLOOKUP(Ruimtestaat[[#This Row],[Code]],Locaties[#All],5,FALSE)</f>
        <v>7573 CC</v>
      </c>
      <c r="E529" s="187" t="str">
        <f>VLOOKUP(Ruimtestaat[[#This Row],[Code]],Locaties[#All],6,FALSE)</f>
        <v>Oldenzaal</v>
      </c>
      <c r="F529" s="232"/>
      <c r="G529" s="187">
        <v>1</v>
      </c>
      <c r="H529" s="187">
        <v>112</v>
      </c>
      <c r="I529" s="232" t="s">
        <v>760</v>
      </c>
      <c r="J529" s="231">
        <v>2</v>
      </c>
      <c r="K529" s="231" t="str">
        <f>VLOOKUP(Ruimtestaat[[#This Row],[Ruimte code]],Ruimtegroepen[#All],2,FALSE)</f>
        <v>Kantoren/kantoortuin</v>
      </c>
      <c r="L529" s="231" t="s">
        <v>1204</v>
      </c>
      <c r="M529" s="187" t="s">
        <v>1205</v>
      </c>
      <c r="N529" s="200">
        <v>24</v>
      </c>
      <c r="O529" s="200"/>
      <c r="P529" s="231" t="str">
        <f>VLOOKUP(Ruimtestaat[[#This Row],[Ruimte code]],Ruimtegroepen[#All],4,FALSE)</f>
        <v>B  (Bureauruimte)</v>
      </c>
      <c r="Q529" s="201"/>
      <c r="R529" s="202">
        <v>42</v>
      </c>
      <c r="S529" s="202" t="s">
        <v>2</v>
      </c>
      <c r="T529" s="202">
        <f>IF(R529&gt;0,IF(RIGHT(Ruimtestaat[[#This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29" s="202">
        <f>IF(T529&gt;0,VLOOKUP($J529,Ruimtegroepen[],3,FALSE)*VLOOKUP($L529,Vloersoorten[],3,FALSE)*VLOOKUP($S529,Frequenties[],3,FALSE)*VLOOKUP($A529,Locaties[],3,FALSE),0)</f>
        <v>0</v>
      </c>
      <c r="V529" s="202">
        <f>Ruimtestaat[[#This Row],[Uitvoeringen werkdagen]]*Ruimtestaat[[#This Row],[Oppervlak (netto)]]</f>
        <v>5040</v>
      </c>
      <c r="W529" s="242">
        <f>IF(U529&gt;0,Ruimtestaat[[#This Row],[Prest. (m2 /jaar) werkdagen]]/Ruimtestaat[[#This Row],[Norm (m2/uur) werkdagen]],0)</f>
        <v>0</v>
      </c>
      <c r="X529" s="243">
        <f>Ruimtestaat[[#This Row],[uren / jaar werkdagen]]*Tariefsopbouw!$D$38</f>
        <v>0</v>
      </c>
      <c r="Y529" s="33"/>
      <c r="Z529" s="33">
        <f>IF(Ruimtestaat[[#This Row],[Frequentie weekend]]&gt;0,VALUE(LEFT(Y529,1))*R529,0)</f>
        <v>0</v>
      </c>
      <c r="AA529" s="33">
        <f>IF($Z529&gt;0,VLOOKUP($J529,Ruimtegroepen[],3,FALSE)*VLOOKUP($L529,Vloersoorten[],3,FALSE)*VLOOKUP($Y529,Frequenties[],3,FALSE)*VLOOKUP(#REF!,Locaties[],3,FALSE),0)</f>
        <v>0</v>
      </c>
      <c r="AB529" s="33"/>
      <c r="AC529" s="33"/>
      <c r="AD529" s="33">
        <f>Ruimtestaat[[#This Row],[uren / jaar weekend]]*Tariefsopbouw!$D$40</f>
        <v>0</v>
      </c>
      <c r="AE529" s="86">
        <f>Ruimtestaat[[#This Row],[Prest. (m2 /jaar) weekend]]+Ruimtestaat[[#This Row],[Prest. (m2 /jaar) werkdagen]]</f>
        <v>5040</v>
      </c>
      <c r="AF529" s="86">
        <f>Ruimtestaat[[#This Row],[uren / jaar weekend]]+Ruimtestaat[[#This Row],[uren / jaar werkdagen]]</f>
        <v>0</v>
      </c>
      <c r="AG529" s="87">
        <f>Ruimtestaat[[#This Row],[kosten / jaar weekend]]+Ruimtestaat[[#This Row],[kosten / jaar werkdagen]]</f>
        <v>0</v>
      </c>
    </row>
    <row r="530" spans="1:33" ht="15" customHeight="1">
      <c r="A530" s="187">
        <v>5</v>
      </c>
      <c r="B530" s="21" t="str">
        <f>VLOOKUP(Ruimtestaat[[#This Row],[Code]],Locaties[#All],2,FALSE)</f>
        <v>Potskamp</v>
      </c>
      <c r="C530" s="231" t="str">
        <f>VLOOKUP(Ruimtestaat[[#This Row],[Code]],Locaties[#All],4,FALSE)</f>
        <v>Potskampstraat 2</v>
      </c>
      <c r="D530" s="231" t="str">
        <f>VLOOKUP(Ruimtestaat[[#This Row],[Code]],Locaties[#All],5,FALSE)</f>
        <v>7573 CC</v>
      </c>
      <c r="E530" s="187" t="str">
        <f>VLOOKUP(Ruimtestaat[[#This Row],[Code]],Locaties[#All],6,FALSE)</f>
        <v>Oldenzaal</v>
      </c>
      <c r="F530" s="232"/>
      <c r="G530" s="187">
        <v>1</v>
      </c>
      <c r="H530" s="187"/>
      <c r="I530" s="232" t="s">
        <v>761</v>
      </c>
      <c r="J530" s="231">
        <v>5</v>
      </c>
      <c r="K530" s="231" t="str">
        <f>VLOOKUP(Ruimtestaat[[#This Row],[Ruimte code]],Ruimtegroepen[#All],2,FALSE)</f>
        <v>Sanitair</v>
      </c>
      <c r="L530" s="202" t="s">
        <v>108</v>
      </c>
      <c r="M530" s="187" t="s">
        <v>1201</v>
      </c>
      <c r="N530" s="200">
        <v>5</v>
      </c>
      <c r="O530" s="200"/>
      <c r="P530" s="231" t="str">
        <f>VLOOKUP(Ruimtestaat[[#This Row],[Ruimte code]],Ruimtegroepen[#All],4,FALSE)</f>
        <v>S  (Sanitair)</v>
      </c>
      <c r="Q530" s="201"/>
      <c r="R530" s="202">
        <v>42</v>
      </c>
      <c r="S530" s="202" t="s">
        <v>19</v>
      </c>
      <c r="T530" s="202">
        <f>IF(R530&gt;0,IF(RIGHT(Ruimtestaat[[#This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530" s="202">
        <f>IF(T530&gt;0,VLOOKUP($J530,Ruimtegroepen[],3,FALSE)*VLOOKUP($L530,Vloersoorten[],3,FALSE)*VLOOKUP($S530,Frequenties[],3,FALSE)*VLOOKUP($A530,Locaties[],3,FALSE),0)</f>
        <v>0</v>
      </c>
      <c r="V530" s="202">
        <f>Ruimtestaat[[#This Row],[Uitvoeringen werkdagen]]*Ruimtestaat[[#This Row],[Oppervlak (netto)]]</f>
        <v>2100</v>
      </c>
      <c r="W530" s="242">
        <f>IF(U530&gt;0,Ruimtestaat[[#This Row],[Prest. (m2 /jaar) werkdagen]]/Ruimtestaat[[#This Row],[Norm (m2/uur) werkdagen]],0)</f>
        <v>0</v>
      </c>
      <c r="X530" s="243">
        <f>Ruimtestaat[[#This Row],[uren / jaar werkdagen]]*Tariefsopbouw!$D$38</f>
        <v>0</v>
      </c>
      <c r="Y530" s="33"/>
      <c r="Z530" s="33">
        <f>IF(Ruimtestaat[[#This Row],[Frequentie weekend]]&gt;0,VALUE(LEFT(Y530,1))*R530,0)</f>
        <v>0</v>
      </c>
      <c r="AA530" s="33">
        <f>IF($Z530&gt;0,VLOOKUP($J530,Ruimtegroepen[],3,FALSE)*VLOOKUP($L530,Vloersoorten[],3,FALSE)*VLOOKUP($Y530,Frequenties[],3,FALSE)*VLOOKUP(#REF!,Locaties[],3,FALSE),0)</f>
        <v>0</v>
      </c>
      <c r="AB530" s="33"/>
      <c r="AC530" s="33"/>
      <c r="AD530" s="33">
        <f>Ruimtestaat[[#This Row],[uren / jaar weekend]]*Tariefsopbouw!$D$40</f>
        <v>0</v>
      </c>
      <c r="AE530" s="86">
        <f>Ruimtestaat[[#This Row],[Prest. (m2 /jaar) weekend]]+Ruimtestaat[[#This Row],[Prest. (m2 /jaar) werkdagen]]</f>
        <v>2100</v>
      </c>
      <c r="AF530" s="86">
        <f>Ruimtestaat[[#This Row],[uren / jaar weekend]]+Ruimtestaat[[#This Row],[uren / jaar werkdagen]]</f>
        <v>0</v>
      </c>
      <c r="AG530" s="87">
        <f>Ruimtestaat[[#This Row],[kosten / jaar weekend]]+Ruimtestaat[[#This Row],[kosten / jaar werkdagen]]</f>
        <v>0</v>
      </c>
    </row>
    <row r="531" spans="1:33" ht="15" customHeight="1">
      <c r="A531" s="187">
        <v>5</v>
      </c>
      <c r="B531" s="21" t="str">
        <f>VLOOKUP(Ruimtestaat[[#This Row],[Code]],Locaties[#All],2,FALSE)</f>
        <v>Potskamp</v>
      </c>
      <c r="C531" s="231" t="str">
        <f>VLOOKUP(Ruimtestaat[[#This Row],[Code]],Locaties[#All],4,FALSE)</f>
        <v>Potskampstraat 2</v>
      </c>
      <c r="D531" s="231" t="str">
        <f>VLOOKUP(Ruimtestaat[[#This Row],[Code]],Locaties[#All],5,FALSE)</f>
        <v>7573 CC</v>
      </c>
      <c r="E531" s="187" t="str">
        <f>VLOOKUP(Ruimtestaat[[#This Row],[Code]],Locaties[#All],6,FALSE)</f>
        <v>Oldenzaal</v>
      </c>
      <c r="F531" s="232"/>
      <c r="G531" s="187">
        <v>1</v>
      </c>
      <c r="H531" s="187"/>
      <c r="I531" s="232" t="s">
        <v>372</v>
      </c>
      <c r="J531" s="231">
        <v>6</v>
      </c>
      <c r="K531" s="231" t="str">
        <f>VLOOKUP(Ruimtestaat[[#This Row],[Ruimte code]],Ruimtegroepen[#All],2,FALSE)</f>
        <v>Gangen/hallen</v>
      </c>
      <c r="L531" s="187" t="s">
        <v>109</v>
      </c>
      <c r="M531" s="187" t="s">
        <v>1203</v>
      </c>
      <c r="N531" s="200">
        <v>73</v>
      </c>
      <c r="O531" s="200"/>
      <c r="P531" s="231" t="str">
        <f>VLOOKUP(Ruimtestaat[[#This Row],[Ruimte code]],Ruimtegroepen[#All],4,FALSE)</f>
        <v>V  (Verkeersruimte)</v>
      </c>
      <c r="Q531" s="201"/>
      <c r="R531" s="202">
        <v>42</v>
      </c>
      <c r="S531" s="202" t="s">
        <v>2</v>
      </c>
      <c r="T531" s="202">
        <f>IF(R531&gt;0,IF(RIGHT(Ruimtestaat[[#This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31" s="202">
        <f>IF(T531&gt;0,VLOOKUP($J531,Ruimtegroepen[],3,FALSE)*VLOOKUP($L531,Vloersoorten[],3,FALSE)*VLOOKUP($S531,Frequenties[],3,FALSE)*VLOOKUP($A531,Locaties[],3,FALSE),0)</f>
        <v>0</v>
      </c>
      <c r="V531" s="202">
        <f>Ruimtestaat[[#This Row],[Uitvoeringen werkdagen]]*Ruimtestaat[[#This Row],[Oppervlak (netto)]]</f>
        <v>15330</v>
      </c>
      <c r="W531" s="242">
        <f>IF(U531&gt;0,Ruimtestaat[[#This Row],[Prest. (m2 /jaar) werkdagen]]/Ruimtestaat[[#This Row],[Norm (m2/uur) werkdagen]],0)</f>
        <v>0</v>
      </c>
      <c r="X531" s="243">
        <f>Ruimtestaat[[#This Row],[uren / jaar werkdagen]]*Tariefsopbouw!$D$38</f>
        <v>0</v>
      </c>
      <c r="Y531" s="33"/>
      <c r="Z531" s="33">
        <f>IF(Ruimtestaat[[#This Row],[Frequentie weekend]]&gt;0,VALUE(LEFT(Y531,1))*R531,0)</f>
        <v>0</v>
      </c>
      <c r="AA531" s="33">
        <f>IF($Z531&gt;0,VLOOKUP($J531,Ruimtegroepen[],3,FALSE)*VLOOKUP($L531,Vloersoorten[],3,FALSE)*VLOOKUP($Y531,Frequenties[],3,FALSE)*VLOOKUP(#REF!,Locaties[],3,FALSE),0)</f>
        <v>0</v>
      </c>
      <c r="AB531" s="33"/>
      <c r="AC531" s="33"/>
      <c r="AD531" s="33">
        <f>Ruimtestaat[[#This Row],[uren / jaar weekend]]*Tariefsopbouw!$D$40</f>
        <v>0</v>
      </c>
      <c r="AE531" s="86">
        <f>Ruimtestaat[[#This Row],[Prest. (m2 /jaar) weekend]]+Ruimtestaat[[#This Row],[Prest. (m2 /jaar) werkdagen]]</f>
        <v>15330</v>
      </c>
      <c r="AF531" s="86">
        <f>Ruimtestaat[[#This Row],[uren / jaar weekend]]+Ruimtestaat[[#This Row],[uren / jaar werkdagen]]</f>
        <v>0</v>
      </c>
      <c r="AG531" s="87">
        <f>Ruimtestaat[[#This Row],[kosten / jaar weekend]]+Ruimtestaat[[#This Row],[kosten / jaar werkdagen]]</f>
        <v>0</v>
      </c>
    </row>
    <row r="532" spans="1:33" ht="15" customHeight="1">
      <c r="A532" s="187">
        <v>5</v>
      </c>
      <c r="B532" s="21" t="str">
        <f>VLOOKUP(Ruimtestaat[[#This Row],[Code]],Locaties[#All],2,FALSE)</f>
        <v>Potskamp</v>
      </c>
      <c r="C532" s="231" t="str">
        <f>VLOOKUP(Ruimtestaat[[#This Row],[Code]],Locaties[#All],4,FALSE)</f>
        <v>Potskampstraat 2</v>
      </c>
      <c r="D532" s="231" t="str">
        <f>VLOOKUP(Ruimtestaat[[#This Row],[Code]],Locaties[#All],5,FALSE)</f>
        <v>7573 CC</v>
      </c>
      <c r="E532" s="187" t="str">
        <f>VLOOKUP(Ruimtestaat[[#This Row],[Code]],Locaties[#All],6,FALSE)</f>
        <v>Oldenzaal</v>
      </c>
      <c r="F532" s="232"/>
      <c r="G532" s="187">
        <v>1</v>
      </c>
      <c r="H532" s="187"/>
      <c r="I532" s="232" t="s">
        <v>698</v>
      </c>
      <c r="J532" s="187">
        <v>5</v>
      </c>
      <c r="K532" s="187" t="str">
        <f>VLOOKUP(Ruimtestaat[[#This Row],[Ruimte code]],Ruimtegroepen[#All],2,FALSE)</f>
        <v>Sanitair</v>
      </c>
      <c r="L532" s="202" t="s">
        <v>108</v>
      </c>
      <c r="M532" s="187" t="s">
        <v>1201</v>
      </c>
      <c r="N532" s="200">
        <v>10</v>
      </c>
      <c r="O532" s="200"/>
      <c r="P532" s="231" t="str">
        <f>VLOOKUP(Ruimtestaat[[#This Row],[Ruimte code]],Ruimtegroepen[#All],4,FALSE)</f>
        <v>S  (Sanitair)</v>
      </c>
      <c r="Q532" s="201"/>
      <c r="R532" s="202">
        <v>42</v>
      </c>
      <c r="S532" s="202" t="s">
        <v>19</v>
      </c>
      <c r="T532" s="202">
        <f>IF(R532&gt;0,IF(RIGHT(Ruimtestaat[[#This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532" s="202">
        <f>IF(T532&gt;0,VLOOKUP($J532,Ruimtegroepen[],3,FALSE)*VLOOKUP($L532,Vloersoorten[],3,FALSE)*VLOOKUP($S532,Frequenties[],3,FALSE)*VLOOKUP($A532,Locaties[],3,FALSE),0)</f>
        <v>0</v>
      </c>
      <c r="V532" s="202">
        <f>Ruimtestaat[[#This Row],[Uitvoeringen werkdagen]]*Ruimtestaat[[#This Row],[Oppervlak (netto)]]</f>
        <v>4200</v>
      </c>
      <c r="W532" s="242">
        <f>IF(U532&gt;0,Ruimtestaat[[#This Row],[Prest. (m2 /jaar) werkdagen]]/Ruimtestaat[[#This Row],[Norm (m2/uur) werkdagen]],0)</f>
        <v>0</v>
      </c>
      <c r="X532" s="243">
        <f>Ruimtestaat[[#This Row],[uren / jaar werkdagen]]*Tariefsopbouw!$D$38</f>
        <v>0</v>
      </c>
      <c r="Y532" s="33"/>
      <c r="Z532" s="33">
        <f>IF(Ruimtestaat[[#This Row],[Frequentie weekend]]&gt;0,VALUE(LEFT(Y532,1))*R532,0)</f>
        <v>0</v>
      </c>
      <c r="AA532" s="33">
        <f>IF($Z532&gt;0,VLOOKUP($J532,Ruimtegroepen[],3,FALSE)*VLOOKUP($L532,Vloersoorten[],3,FALSE)*VLOOKUP($Y532,Frequenties[],3,FALSE)*VLOOKUP(#REF!,Locaties[],3,FALSE),0)</f>
        <v>0</v>
      </c>
      <c r="AB532" s="33"/>
      <c r="AC532" s="33"/>
      <c r="AD532" s="33">
        <f>Ruimtestaat[[#This Row],[uren / jaar weekend]]*Tariefsopbouw!$D$40</f>
        <v>0</v>
      </c>
      <c r="AE532" s="86">
        <f>Ruimtestaat[[#This Row],[Prest. (m2 /jaar) weekend]]+Ruimtestaat[[#This Row],[Prest. (m2 /jaar) werkdagen]]</f>
        <v>4200</v>
      </c>
      <c r="AF532" s="86">
        <f>Ruimtestaat[[#This Row],[uren / jaar weekend]]+Ruimtestaat[[#This Row],[uren / jaar werkdagen]]</f>
        <v>0</v>
      </c>
      <c r="AG532" s="87">
        <f>Ruimtestaat[[#This Row],[kosten / jaar weekend]]+Ruimtestaat[[#This Row],[kosten / jaar werkdagen]]</f>
        <v>0</v>
      </c>
    </row>
    <row r="533" spans="1:33" ht="15" customHeight="1">
      <c r="A533" s="187">
        <v>5</v>
      </c>
      <c r="B533" s="21" t="str">
        <f>VLOOKUP(Ruimtestaat[[#This Row],[Code]],Locaties[#All],2,FALSE)</f>
        <v>Potskamp</v>
      </c>
      <c r="C533" s="231" t="str">
        <f>VLOOKUP(Ruimtestaat[[#This Row],[Code]],Locaties[#All],4,FALSE)</f>
        <v>Potskampstraat 2</v>
      </c>
      <c r="D533" s="231" t="str">
        <f>VLOOKUP(Ruimtestaat[[#This Row],[Code]],Locaties[#All],5,FALSE)</f>
        <v>7573 CC</v>
      </c>
      <c r="E533" s="187" t="str">
        <f>VLOOKUP(Ruimtestaat[[#This Row],[Code]],Locaties[#All],6,FALSE)</f>
        <v>Oldenzaal</v>
      </c>
      <c r="F533" s="232"/>
      <c r="G533" s="187">
        <v>1</v>
      </c>
      <c r="H533" s="187">
        <v>113</v>
      </c>
      <c r="I533" s="232" t="s">
        <v>590</v>
      </c>
      <c r="J533" s="231">
        <v>2</v>
      </c>
      <c r="K533" s="231" t="str">
        <f>VLOOKUP(Ruimtestaat[[#This Row],[Ruimte code]],Ruimtegroepen[#All],2,FALSE)</f>
        <v>Kantoren/kantoortuin</v>
      </c>
      <c r="L533" s="231" t="s">
        <v>1204</v>
      </c>
      <c r="M533" s="187" t="s">
        <v>1205</v>
      </c>
      <c r="N533" s="200">
        <v>18</v>
      </c>
      <c r="O533" s="200"/>
      <c r="P533" s="231" t="str">
        <f>VLOOKUP(Ruimtestaat[[#This Row],[Ruimte code]],Ruimtegroepen[#All],4,FALSE)</f>
        <v>B  (Bureauruimte)</v>
      </c>
      <c r="Q533" s="201"/>
      <c r="R533" s="202">
        <v>42</v>
      </c>
      <c r="S533" s="202" t="s">
        <v>2</v>
      </c>
      <c r="T533" s="202">
        <f>IF(R533&gt;0,IF(RIGHT(Ruimtestaat[[#This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33" s="202">
        <f>IF(T533&gt;0,VLOOKUP($J533,Ruimtegroepen[],3,FALSE)*VLOOKUP($L533,Vloersoorten[],3,FALSE)*VLOOKUP($S533,Frequenties[],3,FALSE)*VLOOKUP($A533,Locaties[],3,FALSE),0)</f>
        <v>0</v>
      </c>
      <c r="V533" s="202">
        <f>Ruimtestaat[[#This Row],[Uitvoeringen werkdagen]]*Ruimtestaat[[#This Row],[Oppervlak (netto)]]</f>
        <v>3780</v>
      </c>
      <c r="W533" s="242">
        <f>IF(U533&gt;0,Ruimtestaat[[#This Row],[Prest. (m2 /jaar) werkdagen]]/Ruimtestaat[[#This Row],[Norm (m2/uur) werkdagen]],0)</f>
        <v>0</v>
      </c>
      <c r="X533" s="243">
        <f>Ruimtestaat[[#This Row],[uren / jaar werkdagen]]*Tariefsopbouw!$D$38</f>
        <v>0</v>
      </c>
      <c r="Y533" s="33"/>
      <c r="Z533" s="33">
        <f>IF(Ruimtestaat[[#This Row],[Frequentie weekend]]&gt;0,VALUE(LEFT(Y533,1))*R533,0)</f>
        <v>0</v>
      </c>
      <c r="AA533" s="33">
        <f>IF($Z533&gt;0,VLOOKUP($J533,Ruimtegroepen[],3,FALSE)*VLOOKUP($L533,Vloersoorten[],3,FALSE)*VLOOKUP($Y533,Frequenties[],3,FALSE)*VLOOKUP(#REF!,Locaties[],3,FALSE),0)</f>
        <v>0</v>
      </c>
      <c r="AB533" s="33"/>
      <c r="AC533" s="33"/>
      <c r="AD533" s="33">
        <f>Ruimtestaat[[#This Row],[uren / jaar weekend]]*Tariefsopbouw!$D$40</f>
        <v>0</v>
      </c>
      <c r="AE533" s="86">
        <f>Ruimtestaat[[#This Row],[Prest. (m2 /jaar) weekend]]+Ruimtestaat[[#This Row],[Prest. (m2 /jaar) werkdagen]]</f>
        <v>3780</v>
      </c>
      <c r="AF533" s="86">
        <f>Ruimtestaat[[#This Row],[uren / jaar weekend]]+Ruimtestaat[[#This Row],[uren / jaar werkdagen]]</f>
        <v>0</v>
      </c>
      <c r="AG533" s="87">
        <f>Ruimtestaat[[#This Row],[kosten / jaar weekend]]+Ruimtestaat[[#This Row],[kosten / jaar werkdagen]]</f>
        <v>0</v>
      </c>
    </row>
    <row r="534" spans="1:33" ht="15" customHeight="1">
      <c r="A534" s="187">
        <v>5</v>
      </c>
      <c r="B534" s="21" t="str">
        <f>VLOOKUP(Ruimtestaat[[#This Row],[Code]],Locaties[#All],2,FALSE)</f>
        <v>Potskamp</v>
      </c>
      <c r="C534" s="231" t="str">
        <f>VLOOKUP(Ruimtestaat[[#This Row],[Code]],Locaties[#All],4,FALSE)</f>
        <v>Potskampstraat 2</v>
      </c>
      <c r="D534" s="231" t="str">
        <f>VLOOKUP(Ruimtestaat[[#This Row],[Code]],Locaties[#All],5,FALSE)</f>
        <v>7573 CC</v>
      </c>
      <c r="E534" s="187" t="str">
        <f>VLOOKUP(Ruimtestaat[[#This Row],[Code]],Locaties[#All],6,FALSE)</f>
        <v>Oldenzaal</v>
      </c>
      <c r="F534" s="232"/>
      <c r="G534" s="187">
        <v>1</v>
      </c>
      <c r="H534" s="187">
        <v>118</v>
      </c>
      <c r="I534" s="232" t="s">
        <v>762</v>
      </c>
      <c r="J534" s="231">
        <v>14</v>
      </c>
      <c r="K534" s="231" t="str">
        <f>VLOOKUP(Ruimtestaat[[#This Row],[Ruimte code]],Ruimtegroepen[#All],2,FALSE)</f>
        <v>Praktijklokalen/kabinet</v>
      </c>
      <c r="L534" s="231" t="s">
        <v>677</v>
      </c>
      <c r="M534" s="187" t="s">
        <v>1200</v>
      </c>
      <c r="N534" s="200">
        <v>90</v>
      </c>
      <c r="O534" s="200"/>
      <c r="P534" s="231" t="str">
        <f>VLOOKUP(Ruimtestaat[[#This Row],[Ruimte code]],Ruimtegroepen[#All],4,FALSE)</f>
        <v>L  (Lesruimte)</v>
      </c>
      <c r="Q534" s="201"/>
      <c r="R534" s="202">
        <v>42</v>
      </c>
      <c r="S534" s="202" t="s">
        <v>2</v>
      </c>
      <c r="T534" s="202">
        <f>IF(R534&gt;0,IF(RIGHT(Ruimtestaat[[#This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34" s="202">
        <f>IF(T534&gt;0,VLOOKUP($J534,Ruimtegroepen[],3,FALSE)*VLOOKUP($L534,Vloersoorten[],3,FALSE)*VLOOKUP($S534,Frequenties[],3,FALSE)*VLOOKUP($A534,Locaties[],3,FALSE),0)</f>
        <v>0</v>
      </c>
      <c r="V534" s="202">
        <f>Ruimtestaat[[#This Row],[Uitvoeringen werkdagen]]*Ruimtestaat[[#This Row],[Oppervlak (netto)]]</f>
        <v>18900</v>
      </c>
      <c r="W534" s="242">
        <f>IF(U534&gt;0,Ruimtestaat[[#This Row],[Prest. (m2 /jaar) werkdagen]]/Ruimtestaat[[#This Row],[Norm (m2/uur) werkdagen]],0)</f>
        <v>0</v>
      </c>
      <c r="X534" s="243">
        <f>Ruimtestaat[[#This Row],[uren / jaar werkdagen]]*Tariefsopbouw!$D$38</f>
        <v>0</v>
      </c>
      <c r="Y534" s="33"/>
      <c r="Z534" s="33">
        <f>IF(Ruimtestaat[[#This Row],[Frequentie weekend]]&gt;0,VALUE(LEFT(Y534,1))*R534,0)</f>
        <v>0</v>
      </c>
      <c r="AA534" s="33">
        <f>IF($Z534&gt;0,VLOOKUP($J534,Ruimtegroepen[],3,FALSE)*VLOOKUP($L534,Vloersoorten[],3,FALSE)*VLOOKUP($Y534,Frequenties[],3,FALSE)*VLOOKUP(#REF!,Locaties[],3,FALSE),0)</f>
        <v>0</v>
      </c>
      <c r="AB534" s="33"/>
      <c r="AC534" s="33"/>
      <c r="AD534" s="33">
        <f>Ruimtestaat[[#This Row],[uren / jaar weekend]]*Tariefsopbouw!$D$40</f>
        <v>0</v>
      </c>
      <c r="AE534" s="86">
        <f>Ruimtestaat[[#This Row],[Prest. (m2 /jaar) weekend]]+Ruimtestaat[[#This Row],[Prest. (m2 /jaar) werkdagen]]</f>
        <v>18900</v>
      </c>
      <c r="AF534" s="86">
        <f>Ruimtestaat[[#This Row],[uren / jaar weekend]]+Ruimtestaat[[#This Row],[uren / jaar werkdagen]]</f>
        <v>0</v>
      </c>
      <c r="AG534" s="87">
        <f>Ruimtestaat[[#This Row],[kosten / jaar weekend]]+Ruimtestaat[[#This Row],[kosten / jaar werkdagen]]</f>
        <v>0</v>
      </c>
    </row>
    <row r="535" spans="1:33" ht="15" customHeight="1">
      <c r="A535" s="187">
        <v>5</v>
      </c>
      <c r="B535" s="21" t="str">
        <f>VLOOKUP(Ruimtestaat[[#This Row],[Code]],Locaties[#All],2,FALSE)</f>
        <v>Potskamp</v>
      </c>
      <c r="C535" s="231" t="str">
        <f>VLOOKUP(Ruimtestaat[[#This Row],[Code]],Locaties[#All],4,FALSE)</f>
        <v>Potskampstraat 2</v>
      </c>
      <c r="D535" s="231" t="str">
        <f>VLOOKUP(Ruimtestaat[[#This Row],[Code]],Locaties[#All],5,FALSE)</f>
        <v>7573 CC</v>
      </c>
      <c r="E535" s="187" t="str">
        <f>VLOOKUP(Ruimtestaat[[#This Row],[Code]],Locaties[#All],6,FALSE)</f>
        <v>Oldenzaal</v>
      </c>
      <c r="F535" s="232"/>
      <c r="G535" s="187">
        <v>1</v>
      </c>
      <c r="H535" s="187"/>
      <c r="I535" s="232" t="s">
        <v>372</v>
      </c>
      <c r="J535" s="187">
        <v>6</v>
      </c>
      <c r="K535" s="187" t="str">
        <f>VLOOKUP(Ruimtestaat[[#This Row],[Ruimte code]],Ruimtegroepen[#All],2,FALSE)</f>
        <v>Gangen/hallen</v>
      </c>
      <c r="L535" s="187" t="s">
        <v>109</v>
      </c>
      <c r="M535" s="187" t="s">
        <v>1203</v>
      </c>
      <c r="N535" s="200">
        <v>82</v>
      </c>
      <c r="O535" s="200"/>
      <c r="P535" s="231" t="str">
        <f>VLOOKUP(Ruimtestaat[[#This Row],[Ruimte code]],Ruimtegroepen[#All],4,FALSE)</f>
        <v>V  (Verkeersruimte)</v>
      </c>
      <c r="Q535" s="201"/>
      <c r="R535" s="202">
        <v>42</v>
      </c>
      <c r="S535" s="202" t="s">
        <v>2</v>
      </c>
      <c r="T535" s="202">
        <f>IF(R535&gt;0,IF(RIGHT(Ruimtestaat[[#This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35" s="202">
        <f>IF(T535&gt;0,VLOOKUP($J535,Ruimtegroepen[],3,FALSE)*VLOOKUP($L535,Vloersoorten[],3,FALSE)*VLOOKUP($S535,Frequenties[],3,FALSE)*VLOOKUP($A535,Locaties[],3,FALSE),0)</f>
        <v>0</v>
      </c>
      <c r="V535" s="202">
        <f>Ruimtestaat[[#This Row],[Uitvoeringen werkdagen]]*Ruimtestaat[[#This Row],[Oppervlak (netto)]]</f>
        <v>17220</v>
      </c>
      <c r="W535" s="242">
        <f>IF(U535&gt;0,Ruimtestaat[[#This Row],[Prest. (m2 /jaar) werkdagen]]/Ruimtestaat[[#This Row],[Norm (m2/uur) werkdagen]],0)</f>
        <v>0</v>
      </c>
      <c r="X535" s="243">
        <f>Ruimtestaat[[#This Row],[uren / jaar werkdagen]]*Tariefsopbouw!$D$38</f>
        <v>0</v>
      </c>
      <c r="Y535" s="33"/>
      <c r="Z535" s="33">
        <f>IF(Ruimtestaat[[#This Row],[Frequentie weekend]]&gt;0,VALUE(LEFT(Y535,1))*R535,0)</f>
        <v>0</v>
      </c>
      <c r="AA535" s="33">
        <f>IF($Z535&gt;0,VLOOKUP($J535,Ruimtegroepen[],3,FALSE)*VLOOKUP($L535,Vloersoorten[],3,FALSE)*VLOOKUP($Y535,Frequenties[],3,FALSE)*VLOOKUP(#REF!,Locaties[],3,FALSE),0)</f>
        <v>0</v>
      </c>
      <c r="AB535" s="33"/>
      <c r="AC535" s="33"/>
      <c r="AD535" s="33">
        <f>Ruimtestaat[[#This Row],[uren / jaar weekend]]*Tariefsopbouw!$D$40</f>
        <v>0</v>
      </c>
      <c r="AE535" s="86">
        <f>Ruimtestaat[[#This Row],[Prest. (m2 /jaar) weekend]]+Ruimtestaat[[#This Row],[Prest. (m2 /jaar) werkdagen]]</f>
        <v>17220</v>
      </c>
      <c r="AF535" s="86">
        <f>Ruimtestaat[[#This Row],[uren / jaar weekend]]+Ruimtestaat[[#This Row],[uren / jaar werkdagen]]</f>
        <v>0</v>
      </c>
      <c r="AG535" s="87">
        <f>Ruimtestaat[[#This Row],[kosten / jaar weekend]]+Ruimtestaat[[#This Row],[kosten / jaar werkdagen]]</f>
        <v>0</v>
      </c>
    </row>
    <row r="536" spans="1:33" ht="15" customHeight="1">
      <c r="A536" s="187">
        <v>5</v>
      </c>
      <c r="B536" s="21" t="str">
        <f>VLOOKUP(Ruimtestaat[[#This Row],[Code]],Locaties[#All],2,FALSE)</f>
        <v>Potskamp</v>
      </c>
      <c r="C536" s="231" t="str">
        <f>VLOOKUP(Ruimtestaat[[#This Row],[Code]],Locaties[#All],4,FALSE)</f>
        <v>Potskampstraat 2</v>
      </c>
      <c r="D536" s="231" t="str">
        <f>VLOOKUP(Ruimtestaat[[#This Row],[Code]],Locaties[#All],5,FALSE)</f>
        <v>7573 CC</v>
      </c>
      <c r="E536" s="187" t="str">
        <f>VLOOKUP(Ruimtestaat[[#This Row],[Code]],Locaties[#All],6,FALSE)</f>
        <v>Oldenzaal</v>
      </c>
      <c r="F536" s="232"/>
      <c r="G536" s="187">
        <v>1</v>
      </c>
      <c r="H536" s="187">
        <v>117</v>
      </c>
      <c r="I536" s="232" t="s">
        <v>678</v>
      </c>
      <c r="J536" s="187">
        <v>14</v>
      </c>
      <c r="K536" s="187" t="str">
        <f>VLOOKUP(Ruimtestaat[[#This Row],[Ruimte code]],Ruimtegroepen[#All],2,FALSE)</f>
        <v>Praktijklokalen/kabinet</v>
      </c>
      <c r="L536" s="231" t="s">
        <v>677</v>
      </c>
      <c r="M536" s="187" t="s">
        <v>1200</v>
      </c>
      <c r="N536" s="200">
        <v>30</v>
      </c>
      <c r="O536" s="200"/>
      <c r="P536" s="231" t="str">
        <f>VLOOKUP(Ruimtestaat[[#This Row],[Ruimte code]],Ruimtegroepen[#All],4,FALSE)</f>
        <v>L  (Lesruimte)</v>
      </c>
      <c r="Q536" s="201"/>
      <c r="R536" s="202">
        <v>42</v>
      </c>
      <c r="S536" s="202" t="s">
        <v>15</v>
      </c>
      <c r="T536" s="202">
        <f>IF(R536&gt;0,IF(RIGHT(Ruimtestaat[[#This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536" s="202">
        <f>IF(T536&gt;0,VLOOKUP($J536,Ruimtegroepen[],3,FALSE)*VLOOKUP($L536,Vloersoorten[],3,FALSE)*VLOOKUP($S536,Frequenties[],3,FALSE)*VLOOKUP($A536,Locaties[],3,FALSE),0)</f>
        <v>0</v>
      </c>
      <c r="V536" s="202">
        <f>Ruimtestaat[[#This Row],[Uitvoeringen werkdagen]]*Ruimtestaat[[#This Row],[Oppervlak (netto)]]</f>
        <v>1260</v>
      </c>
      <c r="W536" s="242">
        <f>IF(U536&gt;0,Ruimtestaat[[#This Row],[Prest. (m2 /jaar) werkdagen]]/Ruimtestaat[[#This Row],[Norm (m2/uur) werkdagen]],0)</f>
        <v>0</v>
      </c>
      <c r="X536" s="243">
        <f>Ruimtestaat[[#This Row],[uren / jaar werkdagen]]*Tariefsopbouw!$D$38</f>
        <v>0</v>
      </c>
      <c r="Y536" s="33"/>
      <c r="Z536" s="33">
        <f>IF(Ruimtestaat[[#This Row],[Frequentie weekend]]&gt;0,VALUE(LEFT(Y536,1))*R536,0)</f>
        <v>0</v>
      </c>
      <c r="AA536" s="33">
        <f>IF($Z536&gt;0,VLOOKUP($J536,Ruimtegroepen[],3,FALSE)*VLOOKUP($L536,Vloersoorten[],3,FALSE)*VLOOKUP($Y536,Frequenties[],3,FALSE)*VLOOKUP(#REF!,Locaties[],3,FALSE),0)</f>
        <v>0</v>
      </c>
      <c r="AB536" s="33"/>
      <c r="AC536" s="33"/>
      <c r="AD536" s="33">
        <f>Ruimtestaat[[#This Row],[uren / jaar weekend]]*Tariefsopbouw!$D$40</f>
        <v>0</v>
      </c>
      <c r="AE536" s="86">
        <f>Ruimtestaat[[#This Row],[Prest. (m2 /jaar) weekend]]+Ruimtestaat[[#This Row],[Prest. (m2 /jaar) werkdagen]]</f>
        <v>1260</v>
      </c>
      <c r="AF536" s="86">
        <f>Ruimtestaat[[#This Row],[uren / jaar weekend]]+Ruimtestaat[[#This Row],[uren / jaar werkdagen]]</f>
        <v>0</v>
      </c>
      <c r="AG536" s="87">
        <f>Ruimtestaat[[#This Row],[kosten / jaar weekend]]+Ruimtestaat[[#This Row],[kosten / jaar werkdagen]]</f>
        <v>0</v>
      </c>
    </row>
    <row r="537" spans="1:33" ht="15" customHeight="1">
      <c r="A537" s="187">
        <v>5</v>
      </c>
      <c r="B537" s="21" t="str">
        <f>VLOOKUP(Ruimtestaat[[#This Row],[Code]],Locaties[#All],2,FALSE)</f>
        <v>Potskamp</v>
      </c>
      <c r="C537" s="231" t="str">
        <f>VLOOKUP(Ruimtestaat[[#This Row],[Code]],Locaties[#All],4,FALSE)</f>
        <v>Potskampstraat 2</v>
      </c>
      <c r="D537" s="231" t="str">
        <f>VLOOKUP(Ruimtestaat[[#This Row],[Code]],Locaties[#All],5,FALSE)</f>
        <v>7573 CC</v>
      </c>
      <c r="E537" s="187" t="str">
        <f>VLOOKUP(Ruimtestaat[[#This Row],[Code]],Locaties[#All],6,FALSE)</f>
        <v>Oldenzaal</v>
      </c>
      <c r="F537" s="232"/>
      <c r="G537" s="187">
        <v>1</v>
      </c>
      <c r="H537" s="187">
        <v>116</v>
      </c>
      <c r="I537" s="232" t="s">
        <v>762</v>
      </c>
      <c r="J537" s="187">
        <v>14</v>
      </c>
      <c r="K537" s="187" t="str">
        <f>VLOOKUP(Ruimtestaat[[#This Row],[Ruimte code]],Ruimtegroepen[#All],2,FALSE)</f>
        <v>Praktijklokalen/kabinet</v>
      </c>
      <c r="L537" s="231" t="s">
        <v>677</v>
      </c>
      <c r="M537" s="187" t="s">
        <v>1200</v>
      </c>
      <c r="N537" s="200">
        <v>110</v>
      </c>
      <c r="O537" s="200"/>
      <c r="P537" s="231" t="str">
        <f>VLOOKUP(Ruimtestaat[[#This Row],[Ruimte code]],Ruimtegroepen[#All],4,FALSE)</f>
        <v>L  (Lesruimte)</v>
      </c>
      <c r="Q537" s="201"/>
      <c r="R537" s="202">
        <v>42</v>
      </c>
      <c r="S537" s="202" t="s">
        <v>2</v>
      </c>
      <c r="T537" s="202">
        <f>IF(R537&gt;0,IF(RIGHT(Ruimtestaat[[#This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37" s="202">
        <f>IF(T537&gt;0,VLOOKUP($J537,Ruimtegroepen[],3,FALSE)*VLOOKUP($L537,Vloersoorten[],3,FALSE)*VLOOKUP($S537,Frequenties[],3,FALSE)*VLOOKUP($A537,Locaties[],3,FALSE),0)</f>
        <v>0</v>
      </c>
      <c r="V537" s="202">
        <f>Ruimtestaat[[#This Row],[Uitvoeringen werkdagen]]*Ruimtestaat[[#This Row],[Oppervlak (netto)]]</f>
        <v>23100</v>
      </c>
      <c r="W537" s="242">
        <f>IF(U537&gt;0,Ruimtestaat[[#This Row],[Prest. (m2 /jaar) werkdagen]]/Ruimtestaat[[#This Row],[Norm (m2/uur) werkdagen]],0)</f>
        <v>0</v>
      </c>
      <c r="X537" s="243">
        <f>Ruimtestaat[[#This Row],[uren / jaar werkdagen]]*Tariefsopbouw!$D$38</f>
        <v>0</v>
      </c>
      <c r="Y537" s="33"/>
      <c r="Z537" s="33">
        <f>IF(Ruimtestaat[[#This Row],[Frequentie weekend]]&gt;0,VALUE(LEFT(Y537,1))*R537,0)</f>
        <v>0</v>
      </c>
      <c r="AA537" s="33">
        <f>IF($Z537&gt;0,VLOOKUP($J537,Ruimtegroepen[],3,FALSE)*VLOOKUP($L537,Vloersoorten[],3,FALSE)*VLOOKUP($Y537,Frequenties[],3,FALSE)*VLOOKUP(#REF!,Locaties[],3,FALSE),0)</f>
        <v>0</v>
      </c>
      <c r="AB537" s="33"/>
      <c r="AC537" s="33"/>
      <c r="AD537" s="33">
        <f>Ruimtestaat[[#This Row],[uren / jaar weekend]]*Tariefsopbouw!$D$40</f>
        <v>0</v>
      </c>
      <c r="AE537" s="86">
        <f>Ruimtestaat[[#This Row],[Prest. (m2 /jaar) weekend]]+Ruimtestaat[[#This Row],[Prest. (m2 /jaar) werkdagen]]</f>
        <v>23100</v>
      </c>
      <c r="AF537" s="86">
        <f>Ruimtestaat[[#This Row],[uren / jaar weekend]]+Ruimtestaat[[#This Row],[uren / jaar werkdagen]]</f>
        <v>0</v>
      </c>
      <c r="AG537" s="87">
        <f>Ruimtestaat[[#This Row],[kosten / jaar weekend]]+Ruimtestaat[[#This Row],[kosten / jaar werkdagen]]</f>
        <v>0</v>
      </c>
    </row>
    <row r="538" spans="1:33" ht="15" customHeight="1">
      <c r="A538" s="187">
        <v>5</v>
      </c>
      <c r="B538" s="21" t="str">
        <f>VLOOKUP(Ruimtestaat[[#This Row],[Code]],Locaties[#All],2,FALSE)</f>
        <v>Potskamp</v>
      </c>
      <c r="C538" s="231" t="str">
        <f>VLOOKUP(Ruimtestaat[[#This Row],[Code]],Locaties[#All],4,FALSE)</f>
        <v>Potskampstraat 2</v>
      </c>
      <c r="D538" s="231" t="str">
        <f>VLOOKUP(Ruimtestaat[[#This Row],[Code]],Locaties[#All],5,FALSE)</f>
        <v>7573 CC</v>
      </c>
      <c r="E538" s="187" t="str">
        <f>VLOOKUP(Ruimtestaat[[#This Row],[Code]],Locaties[#All],6,FALSE)</f>
        <v>Oldenzaal</v>
      </c>
      <c r="F538" s="232"/>
      <c r="G538" s="187">
        <v>1</v>
      </c>
      <c r="H538" s="187">
        <v>115</v>
      </c>
      <c r="I538" s="232" t="s">
        <v>678</v>
      </c>
      <c r="J538" s="187">
        <v>14</v>
      </c>
      <c r="K538" s="187" t="str">
        <f>VLOOKUP(Ruimtestaat[[#This Row],[Ruimte code]],Ruimtegroepen[#All],2,FALSE)</f>
        <v>Praktijklokalen/kabinet</v>
      </c>
      <c r="L538" s="231" t="s">
        <v>677</v>
      </c>
      <c r="M538" s="187" t="s">
        <v>1200</v>
      </c>
      <c r="N538" s="200">
        <v>30</v>
      </c>
      <c r="O538" s="200"/>
      <c r="P538" s="231" t="str">
        <f>VLOOKUP(Ruimtestaat[[#This Row],[Ruimte code]],Ruimtegroepen[#All],4,FALSE)</f>
        <v>L  (Lesruimte)</v>
      </c>
      <c r="Q538" s="201"/>
      <c r="R538" s="202">
        <v>42</v>
      </c>
      <c r="S538" s="202" t="s">
        <v>15</v>
      </c>
      <c r="T538" s="202">
        <f>IF(R538&gt;0,IF(RIGHT(Ruimtestaat[[#This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538" s="202">
        <f>IF(T538&gt;0,VLOOKUP($J538,Ruimtegroepen[],3,FALSE)*VLOOKUP($L538,Vloersoorten[],3,FALSE)*VLOOKUP($S538,Frequenties[],3,FALSE)*VLOOKUP($A538,Locaties[],3,FALSE),0)</f>
        <v>0</v>
      </c>
      <c r="V538" s="202">
        <f>Ruimtestaat[[#This Row],[Uitvoeringen werkdagen]]*Ruimtestaat[[#This Row],[Oppervlak (netto)]]</f>
        <v>1260</v>
      </c>
      <c r="W538" s="242">
        <f>IF(U538&gt;0,Ruimtestaat[[#This Row],[Prest. (m2 /jaar) werkdagen]]/Ruimtestaat[[#This Row],[Norm (m2/uur) werkdagen]],0)</f>
        <v>0</v>
      </c>
      <c r="X538" s="243">
        <f>Ruimtestaat[[#This Row],[uren / jaar werkdagen]]*Tariefsopbouw!$D$38</f>
        <v>0</v>
      </c>
      <c r="Y538" s="33"/>
      <c r="Z538" s="33">
        <f>IF(Ruimtestaat[[#This Row],[Frequentie weekend]]&gt;0,VALUE(LEFT(Y538,1))*R538,0)</f>
        <v>0</v>
      </c>
      <c r="AA538" s="33">
        <f>IF($Z538&gt;0,VLOOKUP($J538,Ruimtegroepen[],3,FALSE)*VLOOKUP($L538,Vloersoorten[],3,FALSE)*VLOOKUP($Y538,Frequenties[],3,FALSE)*VLOOKUP(#REF!,Locaties[],3,FALSE),0)</f>
        <v>0</v>
      </c>
      <c r="AB538" s="33"/>
      <c r="AC538" s="33"/>
      <c r="AD538" s="33">
        <f>Ruimtestaat[[#This Row],[uren / jaar weekend]]*Tariefsopbouw!$D$40</f>
        <v>0</v>
      </c>
      <c r="AE538" s="86">
        <f>Ruimtestaat[[#This Row],[Prest. (m2 /jaar) weekend]]+Ruimtestaat[[#This Row],[Prest. (m2 /jaar) werkdagen]]</f>
        <v>1260</v>
      </c>
      <c r="AF538" s="86">
        <f>Ruimtestaat[[#This Row],[uren / jaar weekend]]+Ruimtestaat[[#This Row],[uren / jaar werkdagen]]</f>
        <v>0</v>
      </c>
      <c r="AG538" s="87">
        <f>Ruimtestaat[[#This Row],[kosten / jaar weekend]]+Ruimtestaat[[#This Row],[kosten / jaar werkdagen]]</f>
        <v>0</v>
      </c>
    </row>
    <row r="539" spans="1:33" ht="15" customHeight="1">
      <c r="A539" s="187">
        <v>5</v>
      </c>
      <c r="B539" s="21" t="str">
        <f>VLOOKUP(Ruimtestaat[[#This Row],[Code]],Locaties[#All],2,FALSE)</f>
        <v>Potskamp</v>
      </c>
      <c r="C539" s="231" t="str">
        <f>VLOOKUP(Ruimtestaat[[#This Row],[Code]],Locaties[#All],4,FALSE)</f>
        <v>Potskampstraat 2</v>
      </c>
      <c r="D539" s="231" t="str">
        <f>VLOOKUP(Ruimtestaat[[#This Row],[Code]],Locaties[#All],5,FALSE)</f>
        <v>7573 CC</v>
      </c>
      <c r="E539" s="187" t="str">
        <f>VLOOKUP(Ruimtestaat[[#This Row],[Code]],Locaties[#All],6,FALSE)</f>
        <v>Oldenzaal</v>
      </c>
      <c r="F539" s="232"/>
      <c r="G539" s="187">
        <v>1</v>
      </c>
      <c r="H539" s="187">
        <v>114</v>
      </c>
      <c r="I539" s="232" t="s">
        <v>762</v>
      </c>
      <c r="J539" s="187">
        <v>14</v>
      </c>
      <c r="K539" s="187" t="str">
        <f>VLOOKUP(Ruimtestaat[[#This Row],[Ruimte code]],Ruimtegroepen[#All],2,FALSE)</f>
        <v>Praktijklokalen/kabinet</v>
      </c>
      <c r="L539" s="231" t="s">
        <v>677</v>
      </c>
      <c r="M539" s="187" t="s">
        <v>1200</v>
      </c>
      <c r="N539" s="200">
        <v>110</v>
      </c>
      <c r="O539" s="200"/>
      <c r="P539" s="231" t="str">
        <f>VLOOKUP(Ruimtestaat[[#This Row],[Ruimte code]],Ruimtegroepen[#All],4,FALSE)</f>
        <v>L  (Lesruimte)</v>
      </c>
      <c r="Q539" s="201"/>
      <c r="R539" s="202">
        <v>42</v>
      </c>
      <c r="S539" s="202" t="s">
        <v>2</v>
      </c>
      <c r="T539" s="202">
        <f>IF(R539&gt;0,IF(RIGHT(Ruimtestaat[[#This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39" s="202">
        <f>IF(T539&gt;0,VLOOKUP($J539,Ruimtegroepen[],3,FALSE)*VLOOKUP($L539,Vloersoorten[],3,FALSE)*VLOOKUP($S539,Frequenties[],3,FALSE)*VLOOKUP($A539,Locaties[],3,FALSE),0)</f>
        <v>0</v>
      </c>
      <c r="V539" s="202">
        <f>Ruimtestaat[[#This Row],[Uitvoeringen werkdagen]]*Ruimtestaat[[#This Row],[Oppervlak (netto)]]</f>
        <v>23100</v>
      </c>
      <c r="W539" s="242">
        <f>IF(U539&gt;0,Ruimtestaat[[#This Row],[Prest. (m2 /jaar) werkdagen]]/Ruimtestaat[[#This Row],[Norm (m2/uur) werkdagen]],0)</f>
        <v>0</v>
      </c>
      <c r="X539" s="243">
        <f>Ruimtestaat[[#This Row],[uren / jaar werkdagen]]*Tariefsopbouw!$D$38</f>
        <v>0</v>
      </c>
      <c r="Y539" s="33"/>
      <c r="Z539" s="33">
        <f>IF(Ruimtestaat[[#This Row],[Frequentie weekend]]&gt;0,VALUE(LEFT(Y539,1))*R539,0)</f>
        <v>0</v>
      </c>
      <c r="AA539" s="33">
        <f>IF($Z539&gt;0,VLOOKUP($J539,Ruimtegroepen[],3,FALSE)*VLOOKUP($L539,Vloersoorten[],3,FALSE)*VLOOKUP($Y539,Frequenties[],3,FALSE)*VLOOKUP(#REF!,Locaties[],3,FALSE),0)</f>
        <v>0</v>
      </c>
      <c r="AB539" s="33"/>
      <c r="AC539" s="33"/>
      <c r="AD539" s="33">
        <f>Ruimtestaat[[#This Row],[uren / jaar weekend]]*Tariefsopbouw!$D$40</f>
        <v>0</v>
      </c>
      <c r="AE539" s="86">
        <f>Ruimtestaat[[#This Row],[Prest. (m2 /jaar) weekend]]+Ruimtestaat[[#This Row],[Prest. (m2 /jaar) werkdagen]]</f>
        <v>23100</v>
      </c>
      <c r="AF539" s="86">
        <f>Ruimtestaat[[#This Row],[uren / jaar weekend]]+Ruimtestaat[[#This Row],[uren / jaar werkdagen]]</f>
        <v>0</v>
      </c>
      <c r="AG539" s="87">
        <f>Ruimtestaat[[#This Row],[kosten / jaar weekend]]+Ruimtestaat[[#This Row],[kosten / jaar werkdagen]]</f>
        <v>0</v>
      </c>
    </row>
    <row r="540" spans="1:33" ht="15" customHeight="1">
      <c r="A540" s="187">
        <v>5</v>
      </c>
      <c r="B540" s="21" t="str">
        <f>VLOOKUP(Ruimtestaat[[#This Row],[Code]],Locaties[#All],2,FALSE)</f>
        <v>Potskamp</v>
      </c>
      <c r="C540" s="231" t="str">
        <f>VLOOKUP(Ruimtestaat[[#This Row],[Code]],Locaties[#All],4,FALSE)</f>
        <v>Potskampstraat 2</v>
      </c>
      <c r="D540" s="231" t="str">
        <f>VLOOKUP(Ruimtestaat[[#This Row],[Code]],Locaties[#All],5,FALSE)</f>
        <v>7573 CC</v>
      </c>
      <c r="E540" s="187" t="str">
        <f>VLOOKUP(Ruimtestaat[[#This Row],[Code]],Locaties[#All],6,FALSE)</f>
        <v>Oldenzaal</v>
      </c>
      <c r="F540" s="232"/>
      <c r="G540" s="187">
        <v>1</v>
      </c>
      <c r="H540" s="187"/>
      <c r="I540" s="232" t="s">
        <v>749</v>
      </c>
      <c r="J540" s="231">
        <v>10</v>
      </c>
      <c r="K540" s="231" t="str">
        <f>VLOOKUP(Ruimtestaat[[#This Row],[Ruimte code]],Ruimtegroepen[#All],2,FALSE)</f>
        <v>Trappenhuizen/lift</v>
      </c>
      <c r="L540" s="187" t="s">
        <v>109</v>
      </c>
      <c r="M540" s="187" t="s">
        <v>1203</v>
      </c>
      <c r="N540" s="200">
        <v>11</v>
      </c>
      <c r="O540" s="200"/>
      <c r="P540" s="231" t="str">
        <f>VLOOKUP(Ruimtestaat[[#This Row],[Ruimte code]],Ruimtegroepen[#All],4,FALSE)</f>
        <v>V  (Verkeersruimte)</v>
      </c>
      <c r="Q540" s="201"/>
      <c r="R540" s="202">
        <v>42</v>
      </c>
      <c r="S540" s="202" t="s">
        <v>2</v>
      </c>
      <c r="T540" s="202">
        <f>IF(R540&gt;0,IF(RIGHT(Ruimtestaat[[#This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40" s="202">
        <f>IF(T540&gt;0,VLOOKUP($J540,Ruimtegroepen[],3,FALSE)*VLOOKUP($L540,Vloersoorten[],3,FALSE)*VLOOKUP($S540,Frequenties[],3,FALSE)*VLOOKUP($A540,Locaties[],3,FALSE),0)</f>
        <v>0</v>
      </c>
      <c r="V540" s="202">
        <f>Ruimtestaat[[#This Row],[Uitvoeringen werkdagen]]*Ruimtestaat[[#This Row],[Oppervlak (netto)]]</f>
        <v>2310</v>
      </c>
      <c r="W540" s="242">
        <f>IF(U540&gt;0,Ruimtestaat[[#This Row],[Prest. (m2 /jaar) werkdagen]]/Ruimtestaat[[#This Row],[Norm (m2/uur) werkdagen]],0)</f>
        <v>0</v>
      </c>
      <c r="X540" s="243">
        <f>Ruimtestaat[[#This Row],[uren / jaar werkdagen]]*Tariefsopbouw!$D$38</f>
        <v>0</v>
      </c>
      <c r="Y540" s="33"/>
      <c r="Z540" s="33">
        <f>IF(Ruimtestaat[[#This Row],[Frequentie weekend]]&gt;0,VALUE(LEFT(Y540,1))*R540,0)</f>
        <v>0</v>
      </c>
      <c r="AA540" s="33">
        <f>IF($Z540&gt;0,VLOOKUP($J540,Ruimtegroepen[],3,FALSE)*VLOOKUP($L540,Vloersoorten[],3,FALSE)*VLOOKUP($Y540,Frequenties[],3,FALSE)*VLOOKUP(#REF!,Locaties[],3,FALSE),0)</f>
        <v>0</v>
      </c>
      <c r="AB540" s="33"/>
      <c r="AC540" s="33"/>
      <c r="AD540" s="33">
        <f>Ruimtestaat[[#This Row],[uren / jaar weekend]]*Tariefsopbouw!$D$40</f>
        <v>0</v>
      </c>
      <c r="AE540" s="86">
        <f>Ruimtestaat[[#This Row],[Prest. (m2 /jaar) weekend]]+Ruimtestaat[[#This Row],[Prest. (m2 /jaar) werkdagen]]</f>
        <v>2310</v>
      </c>
      <c r="AF540" s="86">
        <f>Ruimtestaat[[#This Row],[uren / jaar weekend]]+Ruimtestaat[[#This Row],[uren / jaar werkdagen]]</f>
        <v>0</v>
      </c>
      <c r="AG540" s="87">
        <f>Ruimtestaat[[#This Row],[kosten / jaar weekend]]+Ruimtestaat[[#This Row],[kosten / jaar werkdagen]]</f>
        <v>0</v>
      </c>
    </row>
    <row r="541" spans="1:33" ht="15" customHeight="1">
      <c r="A541" s="187">
        <v>5</v>
      </c>
      <c r="B541" s="21" t="str">
        <f>VLOOKUP(Ruimtestaat[[#This Row],[Code]],Locaties[#All],2,FALSE)</f>
        <v>Potskamp</v>
      </c>
      <c r="C541" s="231" t="str">
        <f>VLOOKUP(Ruimtestaat[[#This Row],[Code]],Locaties[#All],4,FALSE)</f>
        <v>Potskampstraat 2</v>
      </c>
      <c r="D541" s="231" t="str">
        <f>VLOOKUP(Ruimtestaat[[#This Row],[Code]],Locaties[#All],5,FALSE)</f>
        <v>7573 CC</v>
      </c>
      <c r="E541" s="187" t="str">
        <f>VLOOKUP(Ruimtestaat[[#This Row],[Code]],Locaties[#All],6,FALSE)</f>
        <v>Oldenzaal</v>
      </c>
      <c r="F541" s="232"/>
      <c r="G541" s="187">
        <v>1</v>
      </c>
      <c r="H541" s="187"/>
      <c r="I541" s="232" t="s">
        <v>596</v>
      </c>
      <c r="J541" s="187">
        <v>10</v>
      </c>
      <c r="K541" s="187" t="str">
        <f>VLOOKUP(Ruimtestaat[[#This Row],[Ruimte code]],Ruimtegroepen[#All],2,FALSE)</f>
        <v>Trappenhuizen/lift</v>
      </c>
      <c r="L541" s="202" t="s">
        <v>108</v>
      </c>
      <c r="M541" s="187" t="s">
        <v>1209</v>
      </c>
      <c r="N541" s="200">
        <v>23</v>
      </c>
      <c r="O541" s="200"/>
      <c r="P541" s="231" t="str">
        <f>VLOOKUP(Ruimtestaat[[#This Row],[Ruimte code]],Ruimtegroepen[#All],4,FALSE)</f>
        <v>V  (Verkeersruimte)</v>
      </c>
      <c r="Q541" s="201"/>
      <c r="R541" s="202">
        <v>42</v>
      </c>
      <c r="S541" s="202" t="s">
        <v>2</v>
      </c>
      <c r="T541" s="202">
        <f>IF(R541&gt;0,IF(RIGHT(Ruimtestaat[[#This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41" s="202">
        <f>IF(T541&gt;0,VLOOKUP($J541,Ruimtegroepen[],3,FALSE)*VLOOKUP($L541,Vloersoorten[],3,FALSE)*VLOOKUP($S541,Frequenties[],3,FALSE)*VLOOKUP($A541,Locaties[],3,FALSE),0)</f>
        <v>0</v>
      </c>
      <c r="V541" s="202">
        <f>Ruimtestaat[[#This Row],[Uitvoeringen werkdagen]]*Ruimtestaat[[#This Row],[Oppervlak (netto)]]</f>
        <v>4830</v>
      </c>
      <c r="W541" s="242">
        <f>IF(U541&gt;0,Ruimtestaat[[#This Row],[Prest. (m2 /jaar) werkdagen]]/Ruimtestaat[[#This Row],[Norm (m2/uur) werkdagen]],0)</f>
        <v>0</v>
      </c>
      <c r="X541" s="243">
        <f>Ruimtestaat[[#This Row],[uren / jaar werkdagen]]*Tariefsopbouw!$D$38</f>
        <v>0</v>
      </c>
      <c r="Y541" s="33"/>
      <c r="Z541" s="33">
        <f>IF(Ruimtestaat[[#This Row],[Frequentie weekend]]&gt;0,VALUE(LEFT(Y541,1))*R541,0)</f>
        <v>0</v>
      </c>
      <c r="AA541" s="33">
        <f>IF($Z541&gt;0,VLOOKUP($J541,Ruimtegroepen[],3,FALSE)*VLOOKUP($L541,Vloersoorten[],3,FALSE)*VLOOKUP($Y541,Frequenties[],3,FALSE)*VLOOKUP(#REF!,Locaties[],3,FALSE),0)</f>
        <v>0</v>
      </c>
      <c r="AB541" s="33"/>
      <c r="AC541" s="33"/>
      <c r="AD541" s="33">
        <f>Ruimtestaat[[#This Row],[uren / jaar weekend]]*Tariefsopbouw!$D$40</f>
        <v>0</v>
      </c>
      <c r="AE541" s="86">
        <f>Ruimtestaat[[#This Row],[Prest. (m2 /jaar) weekend]]+Ruimtestaat[[#This Row],[Prest. (m2 /jaar) werkdagen]]</f>
        <v>4830</v>
      </c>
      <c r="AF541" s="86">
        <f>Ruimtestaat[[#This Row],[uren / jaar weekend]]+Ruimtestaat[[#This Row],[uren / jaar werkdagen]]</f>
        <v>0</v>
      </c>
      <c r="AG541" s="87">
        <f>Ruimtestaat[[#This Row],[kosten / jaar weekend]]+Ruimtestaat[[#This Row],[kosten / jaar werkdagen]]</f>
        <v>0</v>
      </c>
    </row>
    <row r="542" spans="1:33" ht="15" customHeight="1">
      <c r="A542" s="187">
        <v>5</v>
      </c>
      <c r="B542" s="21" t="str">
        <f>VLOOKUP(Ruimtestaat[[#This Row],[Code]],Locaties[#All],2,FALSE)</f>
        <v>Potskamp</v>
      </c>
      <c r="C542" s="231" t="str">
        <f>VLOOKUP(Ruimtestaat[[#This Row],[Code]],Locaties[#All],4,FALSE)</f>
        <v>Potskampstraat 2</v>
      </c>
      <c r="D542" s="231" t="str">
        <f>VLOOKUP(Ruimtestaat[[#This Row],[Code]],Locaties[#All],5,FALSE)</f>
        <v>7573 CC</v>
      </c>
      <c r="E542" s="187" t="str">
        <f>VLOOKUP(Ruimtestaat[[#This Row],[Code]],Locaties[#All],6,FALSE)</f>
        <v>Oldenzaal</v>
      </c>
      <c r="F542" s="232"/>
      <c r="G542" s="187">
        <v>1</v>
      </c>
      <c r="H542" s="187"/>
      <c r="I542" s="232" t="s">
        <v>500</v>
      </c>
      <c r="J542" s="187">
        <v>10</v>
      </c>
      <c r="K542" s="187" t="str">
        <f>VLOOKUP(Ruimtestaat[[#This Row],[Ruimte code]],Ruimtegroepen[#All],2,FALSE)</f>
        <v>Trappenhuizen/lift</v>
      </c>
      <c r="L542" s="202" t="s">
        <v>108</v>
      </c>
      <c r="M542" s="187" t="s">
        <v>1209</v>
      </c>
      <c r="N542" s="200">
        <v>9</v>
      </c>
      <c r="O542" s="200"/>
      <c r="P542" s="231" t="str">
        <f>VLOOKUP(Ruimtestaat[[#This Row],[Ruimte code]],Ruimtegroepen[#All],4,FALSE)</f>
        <v>V  (Verkeersruimte)</v>
      </c>
      <c r="Q542" s="201"/>
      <c r="R542" s="202">
        <v>42</v>
      </c>
      <c r="S542" s="202" t="s">
        <v>2</v>
      </c>
      <c r="T542" s="202">
        <f>IF(R542&gt;0,IF(RIGHT(Ruimtestaat[[#This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42" s="202">
        <f>IF(T542&gt;0,VLOOKUP($J542,Ruimtegroepen[],3,FALSE)*VLOOKUP($L542,Vloersoorten[],3,FALSE)*VLOOKUP($S542,Frequenties[],3,FALSE)*VLOOKUP($A542,Locaties[],3,FALSE),0)</f>
        <v>0</v>
      </c>
      <c r="V542" s="202">
        <f>Ruimtestaat[[#This Row],[Uitvoeringen werkdagen]]*Ruimtestaat[[#This Row],[Oppervlak (netto)]]</f>
        <v>1890</v>
      </c>
      <c r="W542" s="242">
        <f>IF(U542&gt;0,Ruimtestaat[[#This Row],[Prest. (m2 /jaar) werkdagen]]/Ruimtestaat[[#This Row],[Norm (m2/uur) werkdagen]],0)</f>
        <v>0</v>
      </c>
      <c r="X542" s="243">
        <f>Ruimtestaat[[#This Row],[uren / jaar werkdagen]]*Tariefsopbouw!$D$38</f>
        <v>0</v>
      </c>
      <c r="Y542" s="33"/>
      <c r="Z542" s="33">
        <f>IF(Ruimtestaat[[#This Row],[Frequentie weekend]]&gt;0,VALUE(LEFT(Y542,1))*R542,0)</f>
        <v>0</v>
      </c>
      <c r="AA542" s="33">
        <f>IF($Z542&gt;0,VLOOKUP($J542,Ruimtegroepen[],3,FALSE)*VLOOKUP($L542,Vloersoorten[],3,FALSE)*VLOOKUP($Y542,Frequenties[],3,FALSE)*VLOOKUP(#REF!,Locaties[],3,FALSE),0)</f>
        <v>0</v>
      </c>
      <c r="AB542" s="33"/>
      <c r="AC542" s="33"/>
      <c r="AD542" s="33">
        <f>Ruimtestaat[[#This Row],[uren / jaar weekend]]*Tariefsopbouw!$D$40</f>
        <v>0</v>
      </c>
      <c r="AE542" s="86">
        <f>Ruimtestaat[[#This Row],[Prest. (m2 /jaar) weekend]]+Ruimtestaat[[#This Row],[Prest. (m2 /jaar) werkdagen]]</f>
        <v>1890</v>
      </c>
      <c r="AF542" s="86">
        <f>Ruimtestaat[[#This Row],[uren / jaar weekend]]+Ruimtestaat[[#This Row],[uren / jaar werkdagen]]</f>
        <v>0</v>
      </c>
      <c r="AG542" s="87">
        <f>Ruimtestaat[[#This Row],[kosten / jaar weekend]]+Ruimtestaat[[#This Row],[kosten / jaar werkdagen]]</f>
        <v>0</v>
      </c>
    </row>
    <row r="543" spans="1:33" ht="15" customHeight="1">
      <c r="A543" s="187">
        <v>5</v>
      </c>
      <c r="B543" s="21" t="str">
        <f>VLOOKUP(Ruimtestaat[[#This Row],[Code]],Locaties[#All],2,FALSE)</f>
        <v>Potskamp</v>
      </c>
      <c r="C543" s="231" t="str">
        <f>VLOOKUP(Ruimtestaat[[#This Row],[Code]],Locaties[#All],4,FALSE)</f>
        <v>Potskampstraat 2</v>
      </c>
      <c r="D543" s="231" t="str">
        <f>VLOOKUP(Ruimtestaat[[#This Row],[Code]],Locaties[#All],5,FALSE)</f>
        <v>7573 CC</v>
      </c>
      <c r="E543" s="187" t="str">
        <f>VLOOKUP(Ruimtestaat[[#This Row],[Code]],Locaties[#All],6,FALSE)</f>
        <v>Oldenzaal</v>
      </c>
      <c r="F543" s="232"/>
      <c r="G543" s="187">
        <v>2</v>
      </c>
      <c r="H543" s="187"/>
      <c r="I543" s="232" t="s">
        <v>372</v>
      </c>
      <c r="J543" s="187">
        <v>6</v>
      </c>
      <c r="K543" s="187" t="str">
        <f>VLOOKUP(Ruimtestaat[[#This Row],[Ruimte code]],Ruimtegroepen[#All],2,FALSE)</f>
        <v>Gangen/hallen</v>
      </c>
      <c r="L543" s="187" t="s">
        <v>109</v>
      </c>
      <c r="M543" s="187" t="s">
        <v>1203</v>
      </c>
      <c r="N543" s="200">
        <v>32</v>
      </c>
      <c r="O543" s="200"/>
      <c r="P543" s="231" t="str">
        <f>VLOOKUP(Ruimtestaat[[#This Row],[Ruimte code]],Ruimtegroepen[#All],4,FALSE)</f>
        <v>V  (Verkeersruimte)</v>
      </c>
      <c r="Q543" s="201"/>
      <c r="R543" s="202">
        <v>42</v>
      </c>
      <c r="S543" s="202" t="s">
        <v>2</v>
      </c>
      <c r="T543" s="202">
        <f>IF(R543&gt;0,IF(RIGHT(Ruimtestaat[[#This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43" s="202">
        <f>IF(T543&gt;0,VLOOKUP($J543,Ruimtegroepen[],3,FALSE)*VLOOKUP($L543,Vloersoorten[],3,FALSE)*VLOOKUP($S543,Frequenties[],3,FALSE)*VLOOKUP($A543,Locaties[],3,FALSE),0)</f>
        <v>0</v>
      </c>
      <c r="V543" s="202">
        <f>Ruimtestaat[[#This Row],[Uitvoeringen werkdagen]]*Ruimtestaat[[#This Row],[Oppervlak (netto)]]</f>
        <v>6720</v>
      </c>
      <c r="W543" s="242">
        <f>IF(U543&gt;0,Ruimtestaat[[#This Row],[Prest. (m2 /jaar) werkdagen]]/Ruimtestaat[[#This Row],[Norm (m2/uur) werkdagen]],0)</f>
        <v>0</v>
      </c>
      <c r="X543" s="243">
        <f>Ruimtestaat[[#This Row],[uren / jaar werkdagen]]*Tariefsopbouw!$D$38</f>
        <v>0</v>
      </c>
      <c r="Y543" s="33"/>
      <c r="Z543" s="33">
        <f>IF(Ruimtestaat[[#This Row],[Frequentie weekend]]&gt;0,VALUE(LEFT(Y543,1))*R543,0)</f>
        <v>0</v>
      </c>
      <c r="AA543" s="33">
        <f>IF($Z543&gt;0,VLOOKUP($J543,Ruimtegroepen[],3,FALSE)*VLOOKUP($L543,Vloersoorten[],3,FALSE)*VLOOKUP($Y543,Frequenties[],3,FALSE)*VLOOKUP(#REF!,Locaties[],3,FALSE),0)</f>
        <v>0</v>
      </c>
      <c r="AB543" s="33"/>
      <c r="AC543" s="33"/>
      <c r="AD543" s="33">
        <f>Ruimtestaat[[#This Row],[uren / jaar weekend]]*Tariefsopbouw!$D$40</f>
        <v>0</v>
      </c>
      <c r="AE543" s="86">
        <f>Ruimtestaat[[#This Row],[Prest. (m2 /jaar) weekend]]+Ruimtestaat[[#This Row],[Prest. (m2 /jaar) werkdagen]]</f>
        <v>6720</v>
      </c>
      <c r="AF543" s="86">
        <f>Ruimtestaat[[#This Row],[uren / jaar weekend]]+Ruimtestaat[[#This Row],[uren / jaar werkdagen]]</f>
        <v>0</v>
      </c>
      <c r="AG543" s="87">
        <f>Ruimtestaat[[#This Row],[kosten / jaar weekend]]+Ruimtestaat[[#This Row],[kosten / jaar werkdagen]]</f>
        <v>0</v>
      </c>
    </row>
    <row r="544" spans="1:33" ht="15" customHeight="1">
      <c r="A544" s="187">
        <v>5</v>
      </c>
      <c r="B544" s="21" t="str">
        <f>VLOOKUP(Ruimtestaat[[#This Row],[Code]],Locaties[#All],2,FALSE)</f>
        <v>Potskamp</v>
      </c>
      <c r="C544" s="231" t="str">
        <f>VLOOKUP(Ruimtestaat[[#This Row],[Code]],Locaties[#All],4,FALSE)</f>
        <v>Potskampstraat 2</v>
      </c>
      <c r="D544" s="231" t="str">
        <f>VLOOKUP(Ruimtestaat[[#This Row],[Code]],Locaties[#All],5,FALSE)</f>
        <v>7573 CC</v>
      </c>
      <c r="E544" s="187" t="str">
        <f>VLOOKUP(Ruimtestaat[[#This Row],[Code]],Locaties[#All],6,FALSE)</f>
        <v>Oldenzaal</v>
      </c>
      <c r="F544" s="232"/>
      <c r="G544" s="187">
        <v>2</v>
      </c>
      <c r="H544" s="187"/>
      <c r="I544" s="232" t="s">
        <v>698</v>
      </c>
      <c r="J544" s="187">
        <v>5</v>
      </c>
      <c r="K544" s="187" t="str">
        <f>VLOOKUP(Ruimtestaat[[#This Row],[Ruimte code]],Ruimtegroepen[#All],2,FALSE)</f>
        <v>Sanitair</v>
      </c>
      <c r="L544" s="202" t="s">
        <v>108</v>
      </c>
      <c r="M544" s="187" t="s">
        <v>1201</v>
      </c>
      <c r="N544" s="200">
        <v>6</v>
      </c>
      <c r="O544" s="200"/>
      <c r="P544" s="231" t="str">
        <f>VLOOKUP(Ruimtestaat[[#This Row],[Ruimte code]],Ruimtegroepen[#All],4,FALSE)</f>
        <v>S  (Sanitair)</v>
      </c>
      <c r="Q544" s="201"/>
      <c r="R544" s="202">
        <v>42</v>
      </c>
      <c r="S544" s="202" t="s">
        <v>19</v>
      </c>
      <c r="T544" s="202">
        <f>IF(R544&gt;0,IF(RIGHT(Ruimtestaat[[#This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544" s="202">
        <f>IF(T544&gt;0,VLOOKUP($J544,Ruimtegroepen[],3,FALSE)*VLOOKUP($L544,Vloersoorten[],3,FALSE)*VLOOKUP($S544,Frequenties[],3,FALSE)*VLOOKUP($A544,Locaties[],3,FALSE),0)</f>
        <v>0</v>
      </c>
      <c r="V544" s="202">
        <f>Ruimtestaat[[#This Row],[Uitvoeringen werkdagen]]*Ruimtestaat[[#This Row],[Oppervlak (netto)]]</f>
        <v>2520</v>
      </c>
      <c r="W544" s="242">
        <f>IF(U544&gt;0,Ruimtestaat[[#This Row],[Prest. (m2 /jaar) werkdagen]]/Ruimtestaat[[#This Row],[Norm (m2/uur) werkdagen]],0)</f>
        <v>0</v>
      </c>
      <c r="X544" s="243">
        <f>Ruimtestaat[[#This Row],[uren / jaar werkdagen]]*Tariefsopbouw!$D$38</f>
        <v>0</v>
      </c>
      <c r="Y544" s="33"/>
      <c r="Z544" s="33">
        <f>IF(Ruimtestaat[[#This Row],[Frequentie weekend]]&gt;0,VALUE(LEFT(Y544,1))*R544,0)</f>
        <v>0</v>
      </c>
      <c r="AA544" s="33">
        <f>IF($Z544&gt;0,VLOOKUP($J544,Ruimtegroepen[],3,FALSE)*VLOOKUP($L544,Vloersoorten[],3,FALSE)*VLOOKUP($Y544,Frequenties[],3,FALSE)*VLOOKUP(#REF!,Locaties[],3,FALSE),0)</f>
        <v>0</v>
      </c>
      <c r="AB544" s="33"/>
      <c r="AC544" s="33"/>
      <c r="AD544" s="33">
        <f>Ruimtestaat[[#This Row],[uren / jaar weekend]]*Tariefsopbouw!$D$40</f>
        <v>0</v>
      </c>
      <c r="AE544" s="86">
        <f>Ruimtestaat[[#This Row],[Prest. (m2 /jaar) weekend]]+Ruimtestaat[[#This Row],[Prest. (m2 /jaar) werkdagen]]</f>
        <v>2520</v>
      </c>
      <c r="AF544" s="86">
        <f>Ruimtestaat[[#This Row],[uren / jaar weekend]]+Ruimtestaat[[#This Row],[uren / jaar werkdagen]]</f>
        <v>0</v>
      </c>
      <c r="AG544" s="87">
        <f>Ruimtestaat[[#This Row],[kosten / jaar weekend]]+Ruimtestaat[[#This Row],[kosten / jaar werkdagen]]</f>
        <v>0</v>
      </c>
    </row>
    <row r="545" spans="1:33" ht="15" customHeight="1">
      <c r="A545" s="187">
        <v>5</v>
      </c>
      <c r="B545" s="21" t="str">
        <f>VLOOKUP(Ruimtestaat[[#This Row],[Code]],Locaties[#All],2,FALSE)</f>
        <v>Potskamp</v>
      </c>
      <c r="C545" s="231" t="str">
        <f>VLOOKUP(Ruimtestaat[[#This Row],[Code]],Locaties[#All],4,FALSE)</f>
        <v>Potskampstraat 2</v>
      </c>
      <c r="D545" s="231" t="str">
        <f>VLOOKUP(Ruimtestaat[[#This Row],[Code]],Locaties[#All],5,FALSE)</f>
        <v>7573 CC</v>
      </c>
      <c r="E545" s="187" t="str">
        <f>VLOOKUP(Ruimtestaat[[#This Row],[Code]],Locaties[#All],6,FALSE)</f>
        <v>Oldenzaal</v>
      </c>
      <c r="F545" s="232"/>
      <c r="G545" s="187">
        <v>2</v>
      </c>
      <c r="H545" s="187"/>
      <c r="I545" s="232" t="s">
        <v>372</v>
      </c>
      <c r="J545" s="231">
        <v>6</v>
      </c>
      <c r="K545" s="231" t="str">
        <f>VLOOKUP(Ruimtestaat[[#This Row],[Ruimte code]],Ruimtegroepen[#All],2,FALSE)</f>
        <v>Gangen/hallen</v>
      </c>
      <c r="L545" s="187" t="s">
        <v>109</v>
      </c>
      <c r="M545" s="187" t="s">
        <v>1203</v>
      </c>
      <c r="N545" s="200">
        <v>90</v>
      </c>
      <c r="O545" s="200"/>
      <c r="P545" s="231" t="str">
        <f>VLOOKUP(Ruimtestaat[[#This Row],[Ruimte code]],Ruimtegroepen[#All],4,FALSE)</f>
        <v>V  (Verkeersruimte)</v>
      </c>
      <c r="Q545" s="201"/>
      <c r="R545" s="202">
        <v>42</v>
      </c>
      <c r="S545" s="202" t="s">
        <v>2</v>
      </c>
      <c r="T545" s="202">
        <f>IF(R545&gt;0,IF(RIGHT(Ruimtestaat[[#This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45" s="202">
        <f>IF(T545&gt;0,VLOOKUP($J545,Ruimtegroepen[],3,FALSE)*VLOOKUP($L545,Vloersoorten[],3,FALSE)*VLOOKUP($S545,Frequenties[],3,FALSE)*VLOOKUP($A545,Locaties[],3,FALSE),0)</f>
        <v>0</v>
      </c>
      <c r="V545" s="202">
        <f>Ruimtestaat[[#This Row],[Uitvoeringen werkdagen]]*Ruimtestaat[[#This Row],[Oppervlak (netto)]]</f>
        <v>18900</v>
      </c>
      <c r="W545" s="242">
        <f>IF(U545&gt;0,Ruimtestaat[[#This Row],[Prest. (m2 /jaar) werkdagen]]/Ruimtestaat[[#This Row],[Norm (m2/uur) werkdagen]],0)</f>
        <v>0</v>
      </c>
      <c r="X545" s="243">
        <f>Ruimtestaat[[#This Row],[uren / jaar werkdagen]]*Tariefsopbouw!$D$38</f>
        <v>0</v>
      </c>
      <c r="Y545" s="33"/>
      <c r="Z545" s="33">
        <f>IF(Ruimtestaat[[#This Row],[Frequentie weekend]]&gt;0,VALUE(LEFT(Y545,1))*R545,0)</f>
        <v>0</v>
      </c>
      <c r="AA545" s="33">
        <f>IF($Z545&gt;0,VLOOKUP($J545,Ruimtegroepen[],3,FALSE)*VLOOKUP($L545,Vloersoorten[],3,FALSE)*VLOOKUP($Y545,Frequenties[],3,FALSE)*VLOOKUP(#REF!,Locaties[],3,FALSE),0)</f>
        <v>0</v>
      </c>
      <c r="AB545" s="33"/>
      <c r="AC545" s="33"/>
      <c r="AD545" s="33">
        <f>Ruimtestaat[[#This Row],[uren / jaar weekend]]*Tariefsopbouw!$D$40</f>
        <v>0</v>
      </c>
      <c r="AE545" s="86">
        <f>Ruimtestaat[[#This Row],[Prest. (m2 /jaar) weekend]]+Ruimtestaat[[#This Row],[Prest. (m2 /jaar) werkdagen]]</f>
        <v>18900</v>
      </c>
      <c r="AF545" s="86">
        <f>Ruimtestaat[[#This Row],[uren / jaar weekend]]+Ruimtestaat[[#This Row],[uren / jaar werkdagen]]</f>
        <v>0</v>
      </c>
      <c r="AG545" s="87">
        <f>Ruimtestaat[[#This Row],[kosten / jaar weekend]]+Ruimtestaat[[#This Row],[kosten / jaar werkdagen]]</f>
        <v>0</v>
      </c>
    </row>
    <row r="546" spans="1:33" ht="15" customHeight="1">
      <c r="A546" s="187">
        <v>5</v>
      </c>
      <c r="B546" s="21" t="str">
        <f>VLOOKUP(Ruimtestaat[[#This Row],[Code]],Locaties[#All],2,FALSE)</f>
        <v>Potskamp</v>
      </c>
      <c r="C546" s="231" t="str">
        <f>VLOOKUP(Ruimtestaat[[#This Row],[Code]],Locaties[#All],4,FALSE)</f>
        <v>Potskampstraat 2</v>
      </c>
      <c r="D546" s="231" t="str">
        <f>VLOOKUP(Ruimtestaat[[#This Row],[Code]],Locaties[#All],5,FALSE)</f>
        <v>7573 CC</v>
      </c>
      <c r="E546" s="187" t="str">
        <f>VLOOKUP(Ruimtestaat[[#This Row],[Code]],Locaties[#All],6,FALSE)</f>
        <v>Oldenzaal</v>
      </c>
      <c r="F546" s="232"/>
      <c r="G546" s="187">
        <v>2</v>
      </c>
      <c r="H546" s="187">
        <v>160</v>
      </c>
      <c r="I546" s="232" t="s">
        <v>604</v>
      </c>
      <c r="J546" s="187">
        <v>16</v>
      </c>
      <c r="K546" s="187" t="str">
        <f>VLOOKUP(Ruimtestaat[[#This Row],[Ruimte code]],Ruimtegroepen[#All],2,FALSE)</f>
        <v>Leslokalen/computerlokaal</v>
      </c>
      <c r="L546" s="187" t="s">
        <v>109</v>
      </c>
      <c r="M546" s="187" t="s">
        <v>1203</v>
      </c>
      <c r="N546" s="200">
        <v>62</v>
      </c>
      <c r="O546" s="200"/>
      <c r="P546" s="231" t="str">
        <f>VLOOKUP(Ruimtestaat[[#This Row],[Ruimte code]],Ruimtegroepen[#All],4,FALSE)</f>
        <v>L  (Lesruimte)</v>
      </c>
      <c r="Q546" s="201"/>
      <c r="R546" s="202">
        <v>42</v>
      </c>
      <c r="S546" s="202" t="s">
        <v>2</v>
      </c>
      <c r="T546" s="202">
        <f>IF(R546&gt;0,IF(RIGHT(Ruimtestaat[[#This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46" s="202">
        <f>IF(T546&gt;0,VLOOKUP($J546,Ruimtegroepen[],3,FALSE)*VLOOKUP($L546,Vloersoorten[],3,FALSE)*VLOOKUP($S546,Frequenties[],3,FALSE)*VLOOKUP($A546,Locaties[],3,FALSE),0)</f>
        <v>0</v>
      </c>
      <c r="V546" s="202">
        <f>Ruimtestaat[[#This Row],[Uitvoeringen werkdagen]]*Ruimtestaat[[#This Row],[Oppervlak (netto)]]</f>
        <v>13020</v>
      </c>
      <c r="W546" s="242">
        <f>IF(U546&gt;0,Ruimtestaat[[#This Row],[Prest. (m2 /jaar) werkdagen]]/Ruimtestaat[[#This Row],[Norm (m2/uur) werkdagen]],0)</f>
        <v>0</v>
      </c>
      <c r="X546" s="243">
        <f>Ruimtestaat[[#This Row],[uren / jaar werkdagen]]*Tariefsopbouw!$D$38</f>
        <v>0</v>
      </c>
      <c r="Y546" s="33"/>
      <c r="Z546" s="33">
        <f>IF(Ruimtestaat[[#This Row],[Frequentie weekend]]&gt;0,VALUE(LEFT(Y546,1))*R546,0)</f>
        <v>0</v>
      </c>
      <c r="AA546" s="33">
        <f>IF($Z546&gt;0,VLOOKUP($J546,Ruimtegroepen[],3,FALSE)*VLOOKUP($L546,Vloersoorten[],3,FALSE)*VLOOKUP($Y546,Frequenties[],3,FALSE)*VLOOKUP(#REF!,Locaties[],3,FALSE),0)</f>
        <v>0</v>
      </c>
      <c r="AB546" s="33"/>
      <c r="AC546" s="33"/>
      <c r="AD546" s="33">
        <f>Ruimtestaat[[#This Row],[uren / jaar weekend]]*Tariefsopbouw!$D$40</f>
        <v>0</v>
      </c>
      <c r="AE546" s="86">
        <f>Ruimtestaat[[#This Row],[Prest. (m2 /jaar) weekend]]+Ruimtestaat[[#This Row],[Prest. (m2 /jaar) werkdagen]]</f>
        <v>13020</v>
      </c>
      <c r="AF546" s="86">
        <f>Ruimtestaat[[#This Row],[uren / jaar weekend]]+Ruimtestaat[[#This Row],[uren / jaar werkdagen]]</f>
        <v>0</v>
      </c>
      <c r="AG546" s="87">
        <f>Ruimtestaat[[#This Row],[kosten / jaar weekend]]+Ruimtestaat[[#This Row],[kosten / jaar werkdagen]]</f>
        <v>0</v>
      </c>
    </row>
    <row r="547" spans="1:33" ht="15" customHeight="1">
      <c r="A547" s="187">
        <v>5</v>
      </c>
      <c r="B547" s="21" t="str">
        <f>VLOOKUP(Ruimtestaat[[#This Row],[Code]],Locaties[#All],2,FALSE)</f>
        <v>Potskamp</v>
      </c>
      <c r="C547" s="231" t="str">
        <f>VLOOKUP(Ruimtestaat[[#This Row],[Code]],Locaties[#All],4,FALSE)</f>
        <v>Potskampstraat 2</v>
      </c>
      <c r="D547" s="231" t="str">
        <f>VLOOKUP(Ruimtestaat[[#This Row],[Code]],Locaties[#All],5,FALSE)</f>
        <v>7573 CC</v>
      </c>
      <c r="E547" s="187" t="str">
        <f>VLOOKUP(Ruimtestaat[[#This Row],[Code]],Locaties[#All],6,FALSE)</f>
        <v>Oldenzaal</v>
      </c>
      <c r="F547" s="232"/>
      <c r="G547" s="187">
        <v>2</v>
      </c>
      <c r="H547" s="187">
        <v>159</v>
      </c>
      <c r="I547" s="232" t="s">
        <v>604</v>
      </c>
      <c r="J547" s="187">
        <v>16</v>
      </c>
      <c r="K547" s="187" t="str">
        <f>VLOOKUP(Ruimtestaat[[#This Row],[Ruimte code]],Ruimtegroepen[#All],2,FALSE)</f>
        <v>Leslokalen/computerlokaal</v>
      </c>
      <c r="L547" s="187" t="s">
        <v>109</v>
      </c>
      <c r="M547" s="187" t="s">
        <v>1203</v>
      </c>
      <c r="N547" s="200">
        <v>62</v>
      </c>
      <c r="O547" s="200"/>
      <c r="P547" s="231" t="str">
        <f>VLOOKUP(Ruimtestaat[[#This Row],[Ruimte code]],Ruimtegroepen[#All],4,FALSE)</f>
        <v>L  (Lesruimte)</v>
      </c>
      <c r="Q547" s="201"/>
      <c r="R547" s="202">
        <v>42</v>
      </c>
      <c r="S547" s="202" t="s">
        <v>2</v>
      </c>
      <c r="T547" s="202">
        <f>IF(R547&gt;0,IF(RIGHT(Ruimtestaat[[#This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47" s="202">
        <f>IF(T547&gt;0,VLOOKUP($J547,Ruimtegroepen[],3,FALSE)*VLOOKUP($L547,Vloersoorten[],3,FALSE)*VLOOKUP($S547,Frequenties[],3,FALSE)*VLOOKUP($A547,Locaties[],3,FALSE),0)</f>
        <v>0</v>
      </c>
      <c r="V547" s="202">
        <f>Ruimtestaat[[#This Row],[Uitvoeringen werkdagen]]*Ruimtestaat[[#This Row],[Oppervlak (netto)]]</f>
        <v>13020</v>
      </c>
      <c r="W547" s="242">
        <f>IF(U547&gt;0,Ruimtestaat[[#This Row],[Prest. (m2 /jaar) werkdagen]]/Ruimtestaat[[#This Row],[Norm (m2/uur) werkdagen]],0)</f>
        <v>0</v>
      </c>
      <c r="X547" s="243">
        <f>Ruimtestaat[[#This Row],[uren / jaar werkdagen]]*Tariefsopbouw!$D$38</f>
        <v>0</v>
      </c>
      <c r="Y547" s="33"/>
      <c r="Z547" s="33">
        <f>IF(Ruimtestaat[[#This Row],[Frequentie weekend]]&gt;0,VALUE(LEFT(Y547,1))*R547,0)</f>
        <v>0</v>
      </c>
      <c r="AA547" s="33">
        <f>IF($Z547&gt;0,VLOOKUP($J547,Ruimtegroepen[],3,FALSE)*VLOOKUP($L547,Vloersoorten[],3,FALSE)*VLOOKUP($Y547,Frequenties[],3,FALSE)*VLOOKUP(#REF!,Locaties[],3,FALSE),0)</f>
        <v>0</v>
      </c>
      <c r="AB547" s="33"/>
      <c r="AC547" s="33"/>
      <c r="AD547" s="33">
        <f>Ruimtestaat[[#This Row],[uren / jaar weekend]]*Tariefsopbouw!$D$40</f>
        <v>0</v>
      </c>
      <c r="AE547" s="86">
        <f>Ruimtestaat[[#This Row],[Prest. (m2 /jaar) weekend]]+Ruimtestaat[[#This Row],[Prest. (m2 /jaar) werkdagen]]</f>
        <v>13020</v>
      </c>
      <c r="AF547" s="86">
        <f>Ruimtestaat[[#This Row],[uren / jaar weekend]]+Ruimtestaat[[#This Row],[uren / jaar werkdagen]]</f>
        <v>0</v>
      </c>
      <c r="AG547" s="87">
        <f>Ruimtestaat[[#This Row],[kosten / jaar weekend]]+Ruimtestaat[[#This Row],[kosten / jaar werkdagen]]</f>
        <v>0</v>
      </c>
    </row>
    <row r="548" spans="1:33" ht="15" customHeight="1">
      <c r="A548" s="187">
        <v>5</v>
      </c>
      <c r="B548" s="21" t="str">
        <f>VLOOKUP(Ruimtestaat[[#This Row],[Code]],Locaties[#All],2,FALSE)</f>
        <v>Potskamp</v>
      </c>
      <c r="C548" s="231" t="str">
        <f>VLOOKUP(Ruimtestaat[[#This Row],[Code]],Locaties[#All],4,FALSE)</f>
        <v>Potskampstraat 2</v>
      </c>
      <c r="D548" s="231" t="str">
        <f>VLOOKUP(Ruimtestaat[[#This Row],[Code]],Locaties[#All],5,FALSE)</f>
        <v>7573 CC</v>
      </c>
      <c r="E548" s="187" t="str">
        <f>VLOOKUP(Ruimtestaat[[#This Row],[Code]],Locaties[#All],6,FALSE)</f>
        <v>Oldenzaal</v>
      </c>
      <c r="F548" s="232"/>
      <c r="G548" s="187">
        <v>2</v>
      </c>
      <c r="H548" s="187">
        <v>158</v>
      </c>
      <c r="I548" s="232" t="s">
        <v>604</v>
      </c>
      <c r="J548" s="187">
        <v>16</v>
      </c>
      <c r="K548" s="187" t="str">
        <f>VLOOKUP(Ruimtestaat[[#This Row],[Ruimte code]],Ruimtegroepen[#All],2,FALSE)</f>
        <v>Leslokalen/computerlokaal</v>
      </c>
      <c r="L548" s="187" t="s">
        <v>109</v>
      </c>
      <c r="M548" s="187" t="s">
        <v>1203</v>
      </c>
      <c r="N548" s="200">
        <v>62</v>
      </c>
      <c r="O548" s="200"/>
      <c r="P548" s="231" t="str">
        <f>VLOOKUP(Ruimtestaat[[#This Row],[Ruimte code]],Ruimtegroepen[#All],4,FALSE)</f>
        <v>L  (Lesruimte)</v>
      </c>
      <c r="Q548" s="201"/>
      <c r="R548" s="202">
        <v>42</v>
      </c>
      <c r="S548" s="202" t="s">
        <v>2</v>
      </c>
      <c r="T548" s="202">
        <f>IF(R548&gt;0,IF(RIGHT(Ruimtestaat[[#This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48" s="202">
        <f>IF(T548&gt;0,VLOOKUP($J548,Ruimtegroepen[],3,FALSE)*VLOOKUP($L548,Vloersoorten[],3,FALSE)*VLOOKUP($S548,Frequenties[],3,FALSE)*VLOOKUP($A548,Locaties[],3,FALSE),0)</f>
        <v>0</v>
      </c>
      <c r="V548" s="202">
        <f>Ruimtestaat[[#This Row],[Uitvoeringen werkdagen]]*Ruimtestaat[[#This Row],[Oppervlak (netto)]]</f>
        <v>13020</v>
      </c>
      <c r="W548" s="242">
        <f>IF(U548&gt;0,Ruimtestaat[[#This Row],[Prest. (m2 /jaar) werkdagen]]/Ruimtestaat[[#This Row],[Norm (m2/uur) werkdagen]],0)</f>
        <v>0</v>
      </c>
      <c r="X548" s="243">
        <f>Ruimtestaat[[#This Row],[uren / jaar werkdagen]]*Tariefsopbouw!$D$38</f>
        <v>0</v>
      </c>
      <c r="Y548" s="33"/>
      <c r="Z548" s="33">
        <f>IF(Ruimtestaat[[#This Row],[Frequentie weekend]]&gt;0,VALUE(LEFT(Y548,1))*R548,0)</f>
        <v>0</v>
      </c>
      <c r="AA548" s="33">
        <f>IF($Z548&gt;0,VLOOKUP($J548,Ruimtegroepen[],3,FALSE)*VLOOKUP($L548,Vloersoorten[],3,FALSE)*VLOOKUP($Y548,Frequenties[],3,FALSE)*VLOOKUP(#REF!,Locaties[],3,FALSE),0)</f>
        <v>0</v>
      </c>
      <c r="AB548" s="33"/>
      <c r="AC548" s="33"/>
      <c r="AD548" s="33">
        <f>Ruimtestaat[[#This Row],[uren / jaar weekend]]*Tariefsopbouw!$D$40</f>
        <v>0</v>
      </c>
      <c r="AE548" s="86">
        <f>Ruimtestaat[[#This Row],[Prest. (m2 /jaar) weekend]]+Ruimtestaat[[#This Row],[Prest. (m2 /jaar) werkdagen]]</f>
        <v>13020</v>
      </c>
      <c r="AF548" s="86">
        <f>Ruimtestaat[[#This Row],[uren / jaar weekend]]+Ruimtestaat[[#This Row],[uren / jaar werkdagen]]</f>
        <v>0</v>
      </c>
      <c r="AG548" s="87">
        <f>Ruimtestaat[[#This Row],[kosten / jaar weekend]]+Ruimtestaat[[#This Row],[kosten / jaar werkdagen]]</f>
        <v>0</v>
      </c>
    </row>
    <row r="549" spans="1:33" ht="15" customHeight="1">
      <c r="A549" s="187">
        <v>5</v>
      </c>
      <c r="B549" s="21" t="str">
        <f>VLOOKUP(Ruimtestaat[[#This Row],[Code]],Locaties[#All],2,FALSE)</f>
        <v>Potskamp</v>
      </c>
      <c r="C549" s="231" t="str">
        <f>VLOOKUP(Ruimtestaat[[#This Row],[Code]],Locaties[#All],4,FALSE)</f>
        <v>Potskampstraat 2</v>
      </c>
      <c r="D549" s="231" t="str">
        <f>VLOOKUP(Ruimtestaat[[#This Row],[Code]],Locaties[#All],5,FALSE)</f>
        <v>7573 CC</v>
      </c>
      <c r="E549" s="187" t="str">
        <f>VLOOKUP(Ruimtestaat[[#This Row],[Code]],Locaties[#All],6,FALSE)</f>
        <v>Oldenzaal</v>
      </c>
      <c r="F549" s="232"/>
      <c r="G549" s="187">
        <v>2</v>
      </c>
      <c r="H549" s="187">
        <v>157</v>
      </c>
      <c r="I549" s="232" t="s">
        <v>604</v>
      </c>
      <c r="J549" s="187">
        <v>16</v>
      </c>
      <c r="K549" s="187" t="str">
        <f>VLOOKUP(Ruimtestaat[[#This Row],[Ruimte code]],Ruimtegroepen[#All],2,FALSE)</f>
        <v>Leslokalen/computerlokaal</v>
      </c>
      <c r="L549" s="187" t="s">
        <v>109</v>
      </c>
      <c r="M549" s="187" t="s">
        <v>1203</v>
      </c>
      <c r="N549" s="200">
        <v>96</v>
      </c>
      <c r="O549" s="200"/>
      <c r="P549" s="231" t="str">
        <f>VLOOKUP(Ruimtestaat[[#This Row],[Ruimte code]],Ruimtegroepen[#All],4,FALSE)</f>
        <v>L  (Lesruimte)</v>
      </c>
      <c r="Q549" s="201"/>
      <c r="R549" s="202">
        <v>42</v>
      </c>
      <c r="S549" s="202" t="s">
        <v>2</v>
      </c>
      <c r="T549" s="202">
        <f>IF(R549&gt;0,IF(RIGHT(Ruimtestaat[[#This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49" s="202">
        <f>IF(T549&gt;0,VLOOKUP($J549,Ruimtegroepen[],3,FALSE)*VLOOKUP($L549,Vloersoorten[],3,FALSE)*VLOOKUP($S549,Frequenties[],3,FALSE)*VLOOKUP($A549,Locaties[],3,FALSE),0)</f>
        <v>0</v>
      </c>
      <c r="V549" s="202">
        <f>Ruimtestaat[[#This Row],[Uitvoeringen werkdagen]]*Ruimtestaat[[#This Row],[Oppervlak (netto)]]</f>
        <v>20160</v>
      </c>
      <c r="W549" s="242">
        <f>IF(U549&gt;0,Ruimtestaat[[#This Row],[Prest. (m2 /jaar) werkdagen]]/Ruimtestaat[[#This Row],[Norm (m2/uur) werkdagen]],0)</f>
        <v>0</v>
      </c>
      <c r="X549" s="243">
        <f>Ruimtestaat[[#This Row],[uren / jaar werkdagen]]*Tariefsopbouw!$D$38</f>
        <v>0</v>
      </c>
      <c r="Y549" s="33"/>
      <c r="Z549" s="33">
        <f>IF(Ruimtestaat[[#This Row],[Frequentie weekend]]&gt;0,VALUE(LEFT(Y549,1))*R549,0)</f>
        <v>0</v>
      </c>
      <c r="AA549" s="33">
        <f>IF($Z549&gt;0,VLOOKUP($J549,Ruimtegroepen[],3,FALSE)*VLOOKUP($L549,Vloersoorten[],3,FALSE)*VLOOKUP($Y549,Frequenties[],3,FALSE)*VLOOKUP(#REF!,Locaties[],3,FALSE),0)</f>
        <v>0</v>
      </c>
      <c r="AB549" s="33"/>
      <c r="AC549" s="33"/>
      <c r="AD549" s="33">
        <f>Ruimtestaat[[#This Row],[uren / jaar weekend]]*Tariefsopbouw!$D$40</f>
        <v>0</v>
      </c>
      <c r="AE549" s="86">
        <f>Ruimtestaat[[#This Row],[Prest. (m2 /jaar) weekend]]+Ruimtestaat[[#This Row],[Prest. (m2 /jaar) werkdagen]]</f>
        <v>20160</v>
      </c>
      <c r="AF549" s="86">
        <f>Ruimtestaat[[#This Row],[uren / jaar weekend]]+Ruimtestaat[[#This Row],[uren / jaar werkdagen]]</f>
        <v>0</v>
      </c>
      <c r="AG549" s="87">
        <f>Ruimtestaat[[#This Row],[kosten / jaar weekend]]+Ruimtestaat[[#This Row],[kosten / jaar werkdagen]]</f>
        <v>0</v>
      </c>
    </row>
    <row r="550" spans="1:33" ht="15" customHeight="1">
      <c r="A550" s="187">
        <v>5</v>
      </c>
      <c r="B550" s="21" t="str">
        <f>VLOOKUP(Ruimtestaat[[#This Row],[Code]],Locaties[#All],2,FALSE)</f>
        <v>Potskamp</v>
      </c>
      <c r="C550" s="231" t="str">
        <f>VLOOKUP(Ruimtestaat[[#This Row],[Code]],Locaties[#All],4,FALSE)</f>
        <v>Potskampstraat 2</v>
      </c>
      <c r="D550" s="231" t="str">
        <f>VLOOKUP(Ruimtestaat[[#This Row],[Code]],Locaties[#All],5,FALSE)</f>
        <v>7573 CC</v>
      </c>
      <c r="E550" s="187" t="str">
        <f>VLOOKUP(Ruimtestaat[[#This Row],[Code]],Locaties[#All],6,FALSE)</f>
        <v>Oldenzaal</v>
      </c>
      <c r="F550" s="232"/>
      <c r="G550" s="187">
        <v>2</v>
      </c>
      <c r="H550" s="187">
        <v>155</v>
      </c>
      <c r="I550" s="232" t="s">
        <v>678</v>
      </c>
      <c r="J550" s="231">
        <v>14</v>
      </c>
      <c r="K550" s="231" t="str">
        <f>VLOOKUP(Ruimtestaat[[#This Row],[Ruimte code]],Ruimtegroepen[#All],2,FALSE)</f>
        <v>Praktijklokalen/kabinet</v>
      </c>
      <c r="L550" s="187" t="s">
        <v>109</v>
      </c>
      <c r="M550" s="187" t="s">
        <v>1203</v>
      </c>
      <c r="N550" s="200">
        <v>43</v>
      </c>
      <c r="O550" s="200"/>
      <c r="P550" s="231" t="str">
        <f>VLOOKUP(Ruimtestaat[[#This Row],[Ruimte code]],Ruimtegroepen[#All],4,FALSE)</f>
        <v>L  (Lesruimte)</v>
      </c>
      <c r="Q550" s="201"/>
      <c r="R550" s="202">
        <v>42</v>
      </c>
      <c r="S550" s="202" t="s">
        <v>15</v>
      </c>
      <c r="T550" s="202">
        <f>IF(R550&gt;0,IF(RIGHT(Ruimtestaat[[#This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550" s="202">
        <f>IF(T550&gt;0,VLOOKUP($J550,Ruimtegroepen[],3,FALSE)*VLOOKUP($L550,Vloersoorten[],3,FALSE)*VLOOKUP($S550,Frequenties[],3,FALSE)*VLOOKUP($A550,Locaties[],3,FALSE),0)</f>
        <v>0</v>
      </c>
      <c r="V550" s="202">
        <f>Ruimtestaat[[#This Row],[Uitvoeringen werkdagen]]*Ruimtestaat[[#This Row],[Oppervlak (netto)]]</f>
        <v>1806</v>
      </c>
      <c r="W550" s="242">
        <f>IF(U550&gt;0,Ruimtestaat[[#This Row],[Prest. (m2 /jaar) werkdagen]]/Ruimtestaat[[#This Row],[Norm (m2/uur) werkdagen]],0)</f>
        <v>0</v>
      </c>
      <c r="X550" s="243">
        <f>Ruimtestaat[[#This Row],[uren / jaar werkdagen]]*Tariefsopbouw!$D$38</f>
        <v>0</v>
      </c>
      <c r="Y550" s="33"/>
      <c r="Z550" s="33">
        <f>IF(Ruimtestaat[[#This Row],[Frequentie weekend]]&gt;0,VALUE(LEFT(Y550,1))*R550,0)</f>
        <v>0</v>
      </c>
      <c r="AA550" s="33">
        <f>IF($Z550&gt;0,VLOOKUP($J550,Ruimtegroepen[],3,FALSE)*VLOOKUP($L550,Vloersoorten[],3,FALSE)*VLOOKUP($Y550,Frequenties[],3,FALSE)*VLOOKUP(#REF!,Locaties[],3,FALSE),0)</f>
        <v>0</v>
      </c>
      <c r="AB550" s="33"/>
      <c r="AC550" s="33"/>
      <c r="AD550" s="33">
        <f>Ruimtestaat[[#This Row],[uren / jaar weekend]]*Tariefsopbouw!$D$40</f>
        <v>0</v>
      </c>
      <c r="AE550" s="86">
        <f>Ruimtestaat[[#This Row],[Prest. (m2 /jaar) weekend]]+Ruimtestaat[[#This Row],[Prest. (m2 /jaar) werkdagen]]</f>
        <v>1806</v>
      </c>
      <c r="AF550" s="86">
        <f>Ruimtestaat[[#This Row],[uren / jaar weekend]]+Ruimtestaat[[#This Row],[uren / jaar werkdagen]]</f>
        <v>0</v>
      </c>
      <c r="AG550" s="87">
        <f>Ruimtestaat[[#This Row],[kosten / jaar weekend]]+Ruimtestaat[[#This Row],[kosten / jaar werkdagen]]</f>
        <v>0</v>
      </c>
    </row>
    <row r="551" spans="1:33" ht="15" customHeight="1">
      <c r="A551" s="187">
        <v>5</v>
      </c>
      <c r="B551" s="21" t="str">
        <f>VLOOKUP(Ruimtestaat[[#This Row],[Code]],Locaties[#All],2,FALSE)</f>
        <v>Potskamp</v>
      </c>
      <c r="C551" s="231" t="str">
        <f>VLOOKUP(Ruimtestaat[[#This Row],[Code]],Locaties[#All],4,FALSE)</f>
        <v>Potskampstraat 2</v>
      </c>
      <c r="D551" s="231" t="str">
        <f>VLOOKUP(Ruimtestaat[[#This Row],[Code]],Locaties[#All],5,FALSE)</f>
        <v>7573 CC</v>
      </c>
      <c r="E551" s="187" t="str">
        <f>VLOOKUP(Ruimtestaat[[#This Row],[Code]],Locaties[#All],6,FALSE)</f>
        <v>Oldenzaal</v>
      </c>
      <c r="F551" s="232"/>
      <c r="G551" s="187">
        <v>2</v>
      </c>
      <c r="H551" s="187">
        <v>156</v>
      </c>
      <c r="I551" s="232" t="s">
        <v>420</v>
      </c>
      <c r="J551" s="202">
        <v>2</v>
      </c>
      <c r="K551" s="202" t="str">
        <f>VLOOKUP(Ruimtestaat[[#This Row],[Ruimte code]],Ruimtegroepen[#All],2,FALSE)</f>
        <v>Kantoren/kantoortuin</v>
      </c>
      <c r="L551" s="187" t="s">
        <v>109</v>
      </c>
      <c r="M551" s="187" t="s">
        <v>1203</v>
      </c>
      <c r="N551" s="200">
        <v>27</v>
      </c>
      <c r="O551" s="200"/>
      <c r="P551" s="231" t="str">
        <f>VLOOKUP(Ruimtestaat[[#This Row],[Ruimte code]],Ruimtegroepen[#All],4,FALSE)</f>
        <v>B  (Bureauruimte)</v>
      </c>
      <c r="Q551" s="201"/>
      <c r="R551" s="202">
        <v>42</v>
      </c>
      <c r="S551" s="202" t="s">
        <v>2</v>
      </c>
      <c r="T551" s="202">
        <f>IF(R551&gt;0,IF(RIGHT(Ruimtestaat[[#This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51" s="202">
        <f>IF(T551&gt;0,VLOOKUP($J551,Ruimtegroepen[],3,FALSE)*VLOOKUP($L551,Vloersoorten[],3,FALSE)*VLOOKUP($S551,Frequenties[],3,FALSE)*VLOOKUP($A551,Locaties[],3,FALSE),0)</f>
        <v>0</v>
      </c>
      <c r="V551" s="202">
        <f>Ruimtestaat[[#This Row],[Uitvoeringen werkdagen]]*Ruimtestaat[[#This Row],[Oppervlak (netto)]]</f>
        <v>5670</v>
      </c>
      <c r="W551" s="242">
        <f>IF(U551&gt;0,Ruimtestaat[[#This Row],[Prest. (m2 /jaar) werkdagen]]/Ruimtestaat[[#This Row],[Norm (m2/uur) werkdagen]],0)</f>
        <v>0</v>
      </c>
      <c r="X551" s="243">
        <f>Ruimtestaat[[#This Row],[uren / jaar werkdagen]]*Tariefsopbouw!$D$38</f>
        <v>0</v>
      </c>
      <c r="Y551" s="33"/>
      <c r="Z551" s="33">
        <f>IF(Ruimtestaat[[#This Row],[Frequentie weekend]]&gt;0,VALUE(LEFT(Y551,1))*R551,0)</f>
        <v>0</v>
      </c>
      <c r="AA551" s="33">
        <f>IF($Z551&gt;0,VLOOKUP($J551,Ruimtegroepen[],3,FALSE)*VLOOKUP($L551,Vloersoorten[],3,FALSE)*VLOOKUP($Y551,Frequenties[],3,FALSE)*VLOOKUP(#REF!,Locaties[],3,FALSE),0)</f>
        <v>0</v>
      </c>
      <c r="AB551" s="33"/>
      <c r="AC551" s="33"/>
      <c r="AD551" s="33">
        <f>Ruimtestaat[[#This Row],[uren / jaar weekend]]*Tariefsopbouw!$D$40</f>
        <v>0</v>
      </c>
      <c r="AE551" s="86">
        <f>Ruimtestaat[[#This Row],[Prest. (m2 /jaar) weekend]]+Ruimtestaat[[#This Row],[Prest. (m2 /jaar) werkdagen]]</f>
        <v>5670</v>
      </c>
      <c r="AF551" s="86">
        <f>Ruimtestaat[[#This Row],[uren / jaar weekend]]+Ruimtestaat[[#This Row],[uren / jaar werkdagen]]</f>
        <v>0</v>
      </c>
      <c r="AG551" s="87">
        <f>Ruimtestaat[[#This Row],[kosten / jaar weekend]]+Ruimtestaat[[#This Row],[kosten / jaar werkdagen]]</f>
        <v>0</v>
      </c>
    </row>
    <row r="552" spans="1:33" ht="15" customHeight="1">
      <c r="A552" s="187">
        <v>5</v>
      </c>
      <c r="B552" s="21" t="str">
        <f>VLOOKUP(Ruimtestaat[[#This Row],[Code]],Locaties[#All],2,FALSE)</f>
        <v>Potskamp</v>
      </c>
      <c r="C552" s="231" t="str">
        <f>VLOOKUP(Ruimtestaat[[#This Row],[Code]],Locaties[#All],4,FALSE)</f>
        <v>Potskampstraat 2</v>
      </c>
      <c r="D552" s="231" t="str">
        <f>VLOOKUP(Ruimtestaat[[#This Row],[Code]],Locaties[#All],5,FALSE)</f>
        <v>7573 CC</v>
      </c>
      <c r="E552" s="187" t="str">
        <f>VLOOKUP(Ruimtestaat[[#This Row],[Code]],Locaties[#All],6,FALSE)</f>
        <v>Oldenzaal</v>
      </c>
      <c r="F552" s="232"/>
      <c r="G552" s="187">
        <v>2</v>
      </c>
      <c r="H552" s="187">
        <v>154</v>
      </c>
      <c r="I552" s="232" t="s">
        <v>763</v>
      </c>
      <c r="J552" s="187">
        <v>14</v>
      </c>
      <c r="K552" s="187" t="str">
        <f>VLOOKUP(Ruimtestaat[[#This Row],[Ruimte code]],Ruimtegroepen[#All],2,FALSE)</f>
        <v>Praktijklokalen/kabinet</v>
      </c>
      <c r="L552" s="187" t="s">
        <v>109</v>
      </c>
      <c r="M552" s="187" t="s">
        <v>1203</v>
      </c>
      <c r="N552" s="200">
        <v>106</v>
      </c>
      <c r="O552" s="200"/>
      <c r="P552" s="231" t="str">
        <f>VLOOKUP(Ruimtestaat[[#This Row],[Ruimte code]],Ruimtegroepen[#All],4,FALSE)</f>
        <v>L  (Lesruimte)</v>
      </c>
      <c r="Q552" s="201"/>
      <c r="R552" s="202">
        <v>42</v>
      </c>
      <c r="S552" s="202" t="s">
        <v>2</v>
      </c>
      <c r="T552" s="202">
        <f>IF(R552&gt;0,IF(RIGHT(Ruimtestaat[[#This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52" s="202">
        <f>IF(T552&gt;0,VLOOKUP($J552,Ruimtegroepen[],3,FALSE)*VLOOKUP($L552,Vloersoorten[],3,FALSE)*VLOOKUP($S552,Frequenties[],3,FALSE)*VLOOKUP($A552,Locaties[],3,FALSE),0)</f>
        <v>0</v>
      </c>
      <c r="V552" s="202">
        <f>Ruimtestaat[[#This Row],[Uitvoeringen werkdagen]]*Ruimtestaat[[#This Row],[Oppervlak (netto)]]</f>
        <v>22260</v>
      </c>
      <c r="W552" s="242">
        <f>IF(U552&gt;0,Ruimtestaat[[#This Row],[Prest. (m2 /jaar) werkdagen]]/Ruimtestaat[[#This Row],[Norm (m2/uur) werkdagen]],0)</f>
        <v>0</v>
      </c>
      <c r="X552" s="243">
        <f>Ruimtestaat[[#This Row],[uren / jaar werkdagen]]*Tariefsopbouw!$D$38</f>
        <v>0</v>
      </c>
      <c r="Y552" s="33"/>
      <c r="Z552" s="33">
        <f>IF(Ruimtestaat[[#This Row],[Frequentie weekend]]&gt;0,VALUE(LEFT(Y552,1))*R552,0)</f>
        <v>0</v>
      </c>
      <c r="AA552" s="33">
        <f>IF($Z552&gt;0,VLOOKUP($J552,Ruimtegroepen[],3,FALSE)*VLOOKUP($L552,Vloersoorten[],3,FALSE)*VLOOKUP($Y552,Frequenties[],3,FALSE)*VLOOKUP(#REF!,Locaties[],3,FALSE),0)</f>
        <v>0</v>
      </c>
      <c r="AB552" s="33"/>
      <c r="AC552" s="33"/>
      <c r="AD552" s="33">
        <f>Ruimtestaat[[#This Row],[uren / jaar weekend]]*Tariefsopbouw!$D$40</f>
        <v>0</v>
      </c>
      <c r="AE552" s="86">
        <f>Ruimtestaat[[#This Row],[Prest. (m2 /jaar) weekend]]+Ruimtestaat[[#This Row],[Prest. (m2 /jaar) werkdagen]]</f>
        <v>22260</v>
      </c>
      <c r="AF552" s="86">
        <f>Ruimtestaat[[#This Row],[uren / jaar weekend]]+Ruimtestaat[[#This Row],[uren / jaar werkdagen]]</f>
        <v>0</v>
      </c>
      <c r="AG552" s="87">
        <f>Ruimtestaat[[#This Row],[kosten / jaar weekend]]+Ruimtestaat[[#This Row],[kosten / jaar werkdagen]]</f>
        <v>0</v>
      </c>
    </row>
    <row r="553" spans="1:33" ht="15" customHeight="1">
      <c r="A553" s="187">
        <v>5</v>
      </c>
      <c r="B553" s="21" t="str">
        <f>VLOOKUP(Ruimtestaat[[#This Row],[Code]],Locaties[#All],2,FALSE)</f>
        <v>Potskamp</v>
      </c>
      <c r="C553" s="231" t="str">
        <f>VLOOKUP(Ruimtestaat[[#This Row],[Code]],Locaties[#All],4,FALSE)</f>
        <v>Potskampstraat 2</v>
      </c>
      <c r="D553" s="231" t="str">
        <f>VLOOKUP(Ruimtestaat[[#This Row],[Code]],Locaties[#All],5,FALSE)</f>
        <v>7573 CC</v>
      </c>
      <c r="E553" s="187" t="str">
        <f>VLOOKUP(Ruimtestaat[[#This Row],[Code]],Locaties[#All],6,FALSE)</f>
        <v>Oldenzaal</v>
      </c>
      <c r="F553" s="232"/>
      <c r="G553" s="187">
        <v>2</v>
      </c>
      <c r="H553" s="187">
        <v>153</v>
      </c>
      <c r="I553" s="232" t="s">
        <v>604</v>
      </c>
      <c r="J553" s="245">
        <v>16</v>
      </c>
      <c r="K553" s="245" t="str">
        <f>VLOOKUP(Ruimtestaat[[#This Row],[Ruimte code]],Ruimtegroepen[#All],2,FALSE)</f>
        <v>Leslokalen/computerlokaal</v>
      </c>
      <c r="L553" s="187" t="s">
        <v>109</v>
      </c>
      <c r="M553" s="187" t="s">
        <v>1203</v>
      </c>
      <c r="N553" s="200">
        <v>62</v>
      </c>
      <c r="O553" s="200"/>
      <c r="P553" s="231" t="str">
        <f>VLOOKUP(Ruimtestaat[[#This Row],[Ruimte code]],Ruimtegroepen[#All],4,FALSE)</f>
        <v>L  (Lesruimte)</v>
      </c>
      <c r="Q553" s="201"/>
      <c r="R553" s="202">
        <v>42</v>
      </c>
      <c r="S553" s="202" t="s">
        <v>2</v>
      </c>
      <c r="T553" s="202">
        <f>IF(R553&gt;0,IF(RIGHT(Ruimtestaat[[#This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53" s="202">
        <f>IF(T553&gt;0,VLOOKUP($J553,Ruimtegroepen[],3,FALSE)*VLOOKUP($L553,Vloersoorten[],3,FALSE)*VLOOKUP($S553,Frequenties[],3,FALSE)*VLOOKUP($A553,Locaties[],3,FALSE),0)</f>
        <v>0</v>
      </c>
      <c r="V553" s="202">
        <f>Ruimtestaat[[#This Row],[Uitvoeringen werkdagen]]*Ruimtestaat[[#This Row],[Oppervlak (netto)]]</f>
        <v>13020</v>
      </c>
      <c r="W553" s="242">
        <f>IF(U553&gt;0,Ruimtestaat[[#This Row],[Prest. (m2 /jaar) werkdagen]]/Ruimtestaat[[#This Row],[Norm (m2/uur) werkdagen]],0)</f>
        <v>0</v>
      </c>
      <c r="X553" s="243">
        <f>Ruimtestaat[[#This Row],[uren / jaar werkdagen]]*Tariefsopbouw!$D$38</f>
        <v>0</v>
      </c>
      <c r="Y553" s="33"/>
      <c r="Z553" s="33">
        <f>IF(Ruimtestaat[[#This Row],[Frequentie weekend]]&gt;0,VALUE(LEFT(Y553,1))*R553,0)</f>
        <v>0</v>
      </c>
      <c r="AA553" s="33">
        <f>IF($Z553&gt;0,VLOOKUP($J553,Ruimtegroepen[],3,FALSE)*VLOOKUP($L553,Vloersoorten[],3,FALSE)*VLOOKUP($Y553,Frequenties[],3,FALSE)*VLOOKUP(#REF!,Locaties[],3,FALSE),0)</f>
        <v>0</v>
      </c>
      <c r="AB553" s="33"/>
      <c r="AC553" s="33"/>
      <c r="AD553" s="33">
        <f>Ruimtestaat[[#This Row],[uren / jaar weekend]]*Tariefsopbouw!$D$40</f>
        <v>0</v>
      </c>
      <c r="AE553" s="86">
        <f>Ruimtestaat[[#This Row],[Prest. (m2 /jaar) weekend]]+Ruimtestaat[[#This Row],[Prest. (m2 /jaar) werkdagen]]</f>
        <v>13020</v>
      </c>
      <c r="AF553" s="86">
        <f>Ruimtestaat[[#This Row],[uren / jaar weekend]]+Ruimtestaat[[#This Row],[uren / jaar werkdagen]]</f>
        <v>0</v>
      </c>
      <c r="AG553" s="87">
        <f>Ruimtestaat[[#This Row],[kosten / jaar weekend]]+Ruimtestaat[[#This Row],[kosten / jaar werkdagen]]</f>
        <v>0</v>
      </c>
    </row>
    <row r="554" spans="1:33" ht="15" customHeight="1">
      <c r="A554" s="187">
        <v>5</v>
      </c>
      <c r="B554" s="21" t="str">
        <f>VLOOKUP(Ruimtestaat[[#This Row],[Code]],Locaties[#All],2,FALSE)</f>
        <v>Potskamp</v>
      </c>
      <c r="C554" s="231" t="str">
        <f>VLOOKUP(Ruimtestaat[[#This Row],[Code]],Locaties[#All],4,FALSE)</f>
        <v>Potskampstraat 2</v>
      </c>
      <c r="D554" s="231" t="str">
        <f>VLOOKUP(Ruimtestaat[[#This Row],[Code]],Locaties[#All],5,FALSE)</f>
        <v>7573 CC</v>
      </c>
      <c r="E554" s="187" t="str">
        <f>VLOOKUP(Ruimtestaat[[#This Row],[Code]],Locaties[#All],6,FALSE)</f>
        <v>Oldenzaal</v>
      </c>
      <c r="F554" s="232"/>
      <c r="G554" s="187">
        <v>2</v>
      </c>
      <c r="H554" s="187">
        <v>152</v>
      </c>
      <c r="I554" s="232" t="s">
        <v>604</v>
      </c>
      <c r="J554" s="187">
        <v>16</v>
      </c>
      <c r="K554" s="187" t="str">
        <f>VLOOKUP(Ruimtestaat[[#This Row],[Ruimte code]],Ruimtegroepen[#All],2,FALSE)</f>
        <v>Leslokalen/computerlokaal</v>
      </c>
      <c r="L554" s="187" t="s">
        <v>109</v>
      </c>
      <c r="M554" s="187" t="s">
        <v>1203</v>
      </c>
      <c r="N554" s="200">
        <v>62</v>
      </c>
      <c r="O554" s="200"/>
      <c r="P554" s="231" t="str">
        <f>VLOOKUP(Ruimtestaat[[#This Row],[Ruimte code]],Ruimtegroepen[#All],4,FALSE)</f>
        <v>L  (Lesruimte)</v>
      </c>
      <c r="Q554" s="201"/>
      <c r="R554" s="202">
        <v>42</v>
      </c>
      <c r="S554" s="202" t="s">
        <v>2</v>
      </c>
      <c r="T554" s="202">
        <f>IF(R554&gt;0,IF(RIGHT(Ruimtestaat[[#This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54" s="202">
        <f>IF(T554&gt;0,VLOOKUP($J554,Ruimtegroepen[],3,FALSE)*VLOOKUP($L554,Vloersoorten[],3,FALSE)*VLOOKUP($S554,Frequenties[],3,FALSE)*VLOOKUP($A554,Locaties[],3,FALSE),0)</f>
        <v>0</v>
      </c>
      <c r="V554" s="202">
        <f>Ruimtestaat[[#This Row],[Uitvoeringen werkdagen]]*Ruimtestaat[[#This Row],[Oppervlak (netto)]]</f>
        <v>13020</v>
      </c>
      <c r="W554" s="242">
        <f>IF(U554&gt;0,Ruimtestaat[[#This Row],[Prest. (m2 /jaar) werkdagen]]/Ruimtestaat[[#This Row],[Norm (m2/uur) werkdagen]],0)</f>
        <v>0</v>
      </c>
      <c r="X554" s="243">
        <f>Ruimtestaat[[#This Row],[uren / jaar werkdagen]]*Tariefsopbouw!$D$38</f>
        <v>0</v>
      </c>
      <c r="Y554" s="33"/>
      <c r="Z554" s="33">
        <f>IF(Ruimtestaat[[#This Row],[Frequentie weekend]]&gt;0,VALUE(LEFT(Y554,1))*R554,0)</f>
        <v>0</v>
      </c>
      <c r="AA554" s="33">
        <f>IF($Z554&gt;0,VLOOKUP($J554,Ruimtegroepen[],3,FALSE)*VLOOKUP($L554,Vloersoorten[],3,FALSE)*VLOOKUP($Y554,Frequenties[],3,FALSE)*VLOOKUP(#REF!,Locaties[],3,FALSE),0)</f>
        <v>0</v>
      </c>
      <c r="AB554" s="33"/>
      <c r="AC554" s="33"/>
      <c r="AD554" s="33">
        <f>Ruimtestaat[[#This Row],[uren / jaar weekend]]*Tariefsopbouw!$D$40</f>
        <v>0</v>
      </c>
      <c r="AE554" s="86">
        <f>Ruimtestaat[[#This Row],[Prest. (m2 /jaar) weekend]]+Ruimtestaat[[#This Row],[Prest. (m2 /jaar) werkdagen]]</f>
        <v>13020</v>
      </c>
      <c r="AF554" s="86">
        <f>Ruimtestaat[[#This Row],[uren / jaar weekend]]+Ruimtestaat[[#This Row],[uren / jaar werkdagen]]</f>
        <v>0</v>
      </c>
      <c r="AG554" s="87">
        <f>Ruimtestaat[[#This Row],[kosten / jaar weekend]]+Ruimtestaat[[#This Row],[kosten / jaar werkdagen]]</f>
        <v>0</v>
      </c>
    </row>
    <row r="555" spans="1:33" ht="15" customHeight="1">
      <c r="A555" s="187">
        <v>5</v>
      </c>
      <c r="B555" s="21" t="str">
        <f>VLOOKUP(Ruimtestaat[[#This Row],[Code]],Locaties[#All],2,FALSE)</f>
        <v>Potskamp</v>
      </c>
      <c r="C555" s="231" t="str">
        <f>VLOOKUP(Ruimtestaat[[#This Row],[Code]],Locaties[#All],4,FALSE)</f>
        <v>Potskampstraat 2</v>
      </c>
      <c r="D555" s="231" t="str">
        <f>VLOOKUP(Ruimtestaat[[#This Row],[Code]],Locaties[#All],5,FALSE)</f>
        <v>7573 CC</v>
      </c>
      <c r="E555" s="187" t="str">
        <f>VLOOKUP(Ruimtestaat[[#This Row],[Code]],Locaties[#All],6,FALSE)</f>
        <v>Oldenzaal</v>
      </c>
      <c r="F555" s="232"/>
      <c r="G555" s="187">
        <v>2</v>
      </c>
      <c r="H555" s="187">
        <v>151</v>
      </c>
      <c r="I555" s="232" t="s">
        <v>604</v>
      </c>
      <c r="J555" s="187">
        <v>16</v>
      </c>
      <c r="K555" s="187" t="str">
        <f>VLOOKUP(Ruimtestaat[[#This Row],[Ruimte code]],Ruimtegroepen[#All],2,FALSE)</f>
        <v>Leslokalen/computerlokaal</v>
      </c>
      <c r="L555" s="187" t="s">
        <v>109</v>
      </c>
      <c r="M555" s="187" t="s">
        <v>1203</v>
      </c>
      <c r="N555" s="200">
        <v>62</v>
      </c>
      <c r="O555" s="200"/>
      <c r="P555" s="231" t="str">
        <f>VLOOKUP(Ruimtestaat[[#This Row],[Ruimte code]],Ruimtegroepen[#All],4,FALSE)</f>
        <v>L  (Lesruimte)</v>
      </c>
      <c r="Q555" s="201"/>
      <c r="R555" s="202">
        <v>42</v>
      </c>
      <c r="S555" s="202" t="s">
        <v>2</v>
      </c>
      <c r="T555" s="202">
        <f>IF(R555&gt;0,IF(RIGHT(Ruimtestaat[[#This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55" s="202">
        <f>IF(T555&gt;0,VLOOKUP($J555,Ruimtegroepen[],3,FALSE)*VLOOKUP($L555,Vloersoorten[],3,FALSE)*VLOOKUP($S555,Frequenties[],3,FALSE)*VLOOKUP($A555,Locaties[],3,FALSE),0)</f>
        <v>0</v>
      </c>
      <c r="V555" s="202">
        <f>Ruimtestaat[[#This Row],[Uitvoeringen werkdagen]]*Ruimtestaat[[#This Row],[Oppervlak (netto)]]</f>
        <v>13020</v>
      </c>
      <c r="W555" s="242">
        <f>IF(U555&gt;0,Ruimtestaat[[#This Row],[Prest. (m2 /jaar) werkdagen]]/Ruimtestaat[[#This Row],[Norm (m2/uur) werkdagen]],0)</f>
        <v>0</v>
      </c>
      <c r="X555" s="243">
        <f>Ruimtestaat[[#This Row],[uren / jaar werkdagen]]*Tariefsopbouw!$D$38</f>
        <v>0</v>
      </c>
      <c r="Y555" s="33"/>
      <c r="Z555" s="33">
        <f>IF(Ruimtestaat[[#This Row],[Frequentie weekend]]&gt;0,VALUE(LEFT(Y555,1))*R555,0)</f>
        <v>0</v>
      </c>
      <c r="AA555" s="33">
        <f>IF($Z555&gt;0,VLOOKUP($J555,Ruimtegroepen[],3,FALSE)*VLOOKUP($L555,Vloersoorten[],3,FALSE)*VLOOKUP($Y555,Frequenties[],3,FALSE)*VLOOKUP(#REF!,Locaties[],3,FALSE),0)</f>
        <v>0</v>
      </c>
      <c r="AB555" s="33"/>
      <c r="AC555" s="33"/>
      <c r="AD555" s="33">
        <f>Ruimtestaat[[#This Row],[uren / jaar weekend]]*Tariefsopbouw!$D$40</f>
        <v>0</v>
      </c>
      <c r="AE555" s="86">
        <f>Ruimtestaat[[#This Row],[Prest. (m2 /jaar) weekend]]+Ruimtestaat[[#This Row],[Prest. (m2 /jaar) werkdagen]]</f>
        <v>13020</v>
      </c>
      <c r="AF555" s="86">
        <f>Ruimtestaat[[#This Row],[uren / jaar weekend]]+Ruimtestaat[[#This Row],[uren / jaar werkdagen]]</f>
        <v>0</v>
      </c>
      <c r="AG555" s="87">
        <f>Ruimtestaat[[#This Row],[kosten / jaar weekend]]+Ruimtestaat[[#This Row],[kosten / jaar werkdagen]]</f>
        <v>0</v>
      </c>
    </row>
    <row r="556" spans="1:33" ht="15" customHeight="1">
      <c r="A556" s="187">
        <v>5</v>
      </c>
      <c r="B556" s="21" t="str">
        <f>VLOOKUP(Ruimtestaat[[#This Row],[Code]],Locaties[#All],2,FALSE)</f>
        <v>Potskamp</v>
      </c>
      <c r="C556" s="231" t="str">
        <f>VLOOKUP(Ruimtestaat[[#This Row],[Code]],Locaties[#All],4,FALSE)</f>
        <v>Potskampstraat 2</v>
      </c>
      <c r="D556" s="231" t="str">
        <f>VLOOKUP(Ruimtestaat[[#This Row],[Code]],Locaties[#All],5,FALSE)</f>
        <v>7573 CC</v>
      </c>
      <c r="E556" s="187" t="str">
        <f>VLOOKUP(Ruimtestaat[[#This Row],[Code]],Locaties[#All],6,FALSE)</f>
        <v>Oldenzaal</v>
      </c>
      <c r="F556" s="232"/>
      <c r="G556" s="187">
        <v>2</v>
      </c>
      <c r="H556" s="187">
        <v>161</v>
      </c>
      <c r="I556" s="232" t="s">
        <v>604</v>
      </c>
      <c r="J556" s="187">
        <v>16</v>
      </c>
      <c r="K556" s="187" t="str">
        <f>VLOOKUP(Ruimtestaat[[#This Row],[Ruimte code]],Ruimtegroepen[#All],2,FALSE)</f>
        <v>Leslokalen/computerlokaal</v>
      </c>
      <c r="L556" s="187" t="s">
        <v>109</v>
      </c>
      <c r="M556" s="187" t="s">
        <v>1203</v>
      </c>
      <c r="N556" s="200">
        <v>104</v>
      </c>
      <c r="O556" s="200"/>
      <c r="P556" s="231" t="str">
        <f>VLOOKUP(Ruimtestaat[[#This Row],[Ruimte code]],Ruimtegroepen[#All],4,FALSE)</f>
        <v>L  (Lesruimte)</v>
      </c>
      <c r="Q556" s="201"/>
      <c r="R556" s="202">
        <v>42</v>
      </c>
      <c r="S556" s="202" t="s">
        <v>2</v>
      </c>
      <c r="T556" s="202">
        <f>IF(R556&gt;0,IF(RIGHT(Ruimtestaat[[#This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56" s="202">
        <f>IF(T556&gt;0,VLOOKUP($J556,Ruimtegroepen[],3,FALSE)*VLOOKUP($L556,Vloersoorten[],3,FALSE)*VLOOKUP($S556,Frequenties[],3,FALSE)*VLOOKUP($A556,Locaties[],3,FALSE),0)</f>
        <v>0</v>
      </c>
      <c r="V556" s="202">
        <f>Ruimtestaat[[#This Row],[Uitvoeringen werkdagen]]*Ruimtestaat[[#This Row],[Oppervlak (netto)]]</f>
        <v>21840</v>
      </c>
      <c r="W556" s="242">
        <f>IF(U556&gt;0,Ruimtestaat[[#This Row],[Prest. (m2 /jaar) werkdagen]]/Ruimtestaat[[#This Row],[Norm (m2/uur) werkdagen]],0)</f>
        <v>0</v>
      </c>
      <c r="X556" s="243">
        <f>Ruimtestaat[[#This Row],[uren / jaar werkdagen]]*Tariefsopbouw!$D$38</f>
        <v>0</v>
      </c>
      <c r="Y556" s="33"/>
      <c r="Z556" s="33">
        <f>IF(Ruimtestaat[[#This Row],[Frequentie weekend]]&gt;0,VALUE(LEFT(Y556,1))*R556,0)</f>
        <v>0</v>
      </c>
      <c r="AA556" s="33">
        <f>IF($Z556&gt;0,VLOOKUP($J556,Ruimtegroepen[],3,FALSE)*VLOOKUP($L556,Vloersoorten[],3,FALSE)*VLOOKUP($Y556,Frequenties[],3,FALSE)*VLOOKUP(#REF!,Locaties[],3,FALSE),0)</f>
        <v>0</v>
      </c>
      <c r="AB556" s="33"/>
      <c r="AC556" s="33"/>
      <c r="AD556" s="33">
        <f>Ruimtestaat[[#This Row],[uren / jaar weekend]]*Tariefsopbouw!$D$40</f>
        <v>0</v>
      </c>
      <c r="AE556" s="86">
        <f>Ruimtestaat[[#This Row],[Prest. (m2 /jaar) weekend]]+Ruimtestaat[[#This Row],[Prest. (m2 /jaar) werkdagen]]</f>
        <v>21840</v>
      </c>
      <c r="AF556" s="86">
        <f>Ruimtestaat[[#This Row],[uren / jaar weekend]]+Ruimtestaat[[#This Row],[uren / jaar werkdagen]]</f>
        <v>0</v>
      </c>
      <c r="AG556" s="87">
        <f>Ruimtestaat[[#This Row],[kosten / jaar weekend]]+Ruimtestaat[[#This Row],[kosten / jaar werkdagen]]</f>
        <v>0</v>
      </c>
    </row>
    <row r="557" spans="1:33" ht="15" customHeight="1">
      <c r="A557" s="187">
        <v>5</v>
      </c>
      <c r="B557" s="21" t="str">
        <f>VLOOKUP(Ruimtestaat[[#This Row],[Code]],Locaties[#All],2,FALSE)</f>
        <v>Potskamp</v>
      </c>
      <c r="C557" s="231" t="str">
        <f>VLOOKUP(Ruimtestaat[[#This Row],[Code]],Locaties[#All],4,FALSE)</f>
        <v>Potskampstraat 2</v>
      </c>
      <c r="D557" s="231" t="str">
        <f>VLOOKUP(Ruimtestaat[[#This Row],[Code]],Locaties[#All],5,FALSE)</f>
        <v>7573 CC</v>
      </c>
      <c r="E557" s="187" t="str">
        <f>VLOOKUP(Ruimtestaat[[#This Row],[Code]],Locaties[#All],6,FALSE)</f>
        <v>Oldenzaal</v>
      </c>
      <c r="F557" s="232"/>
      <c r="G557" s="187">
        <v>3</v>
      </c>
      <c r="H557" s="187">
        <v>210</v>
      </c>
      <c r="I557" s="232" t="s">
        <v>756</v>
      </c>
      <c r="J557" s="231">
        <v>16</v>
      </c>
      <c r="K557" s="231" t="str">
        <f>VLOOKUP(Ruimtestaat[[#This Row],[Ruimte code]],Ruimtegroepen[#All],2,FALSE)</f>
        <v>Leslokalen/computerlokaal</v>
      </c>
      <c r="L557" s="187" t="s">
        <v>109</v>
      </c>
      <c r="M557" s="187" t="s">
        <v>1203</v>
      </c>
      <c r="N557" s="200">
        <v>75</v>
      </c>
      <c r="O557" s="200"/>
      <c r="P557" s="231" t="str">
        <f>VLOOKUP(Ruimtestaat[[#This Row],[Ruimte code]],Ruimtegroepen[#All],4,FALSE)</f>
        <v>L  (Lesruimte)</v>
      </c>
      <c r="Q557" s="201"/>
      <c r="R557" s="202">
        <v>42</v>
      </c>
      <c r="S557" s="202" t="s">
        <v>2</v>
      </c>
      <c r="T557" s="202">
        <f>IF(R557&gt;0,IF(RIGHT(Ruimtestaat[[#This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57" s="202">
        <f>IF(T557&gt;0,VLOOKUP($J557,Ruimtegroepen[],3,FALSE)*VLOOKUP($L557,Vloersoorten[],3,FALSE)*VLOOKUP($S557,Frequenties[],3,FALSE)*VLOOKUP($A557,Locaties[],3,FALSE),0)</f>
        <v>0</v>
      </c>
      <c r="V557" s="202">
        <f>Ruimtestaat[[#This Row],[Uitvoeringen werkdagen]]*Ruimtestaat[[#This Row],[Oppervlak (netto)]]</f>
        <v>15750</v>
      </c>
      <c r="W557" s="242">
        <f>IF(U557&gt;0,Ruimtestaat[[#This Row],[Prest. (m2 /jaar) werkdagen]]/Ruimtestaat[[#This Row],[Norm (m2/uur) werkdagen]],0)</f>
        <v>0</v>
      </c>
      <c r="X557" s="243">
        <f>Ruimtestaat[[#This Row],[uren / jaar werkdagen]]*Tariefsopbouw!$D$38</f>
        <v>0</v>
      </c>
      <c r="Y557" s="33"/>
      <c r="Z557" s="33">
        <f>IF(Ruimtestaat[[#This Row],[Frequentie weekend]]&gt;0,VALUE(LEFT(Y557,1))*R557,0)</f>
        <v>0</v>
      </c>
      <c r="AA557" s="33">
        <f>IF($Z557&gt;0,VLOOKUP($J557,Ruimtegroepen[],3,FALSE)*VLOOKUP($L557,Vloersoorten[],3,FALSE)*VLOOKUP($Y557,Frequenties[],3,FALSE)*VLOOKUP(#REF!,Locaties[],3,FALSE),0)</f>
        <v>0</v>
      </c>
      <c r="AB557" s="33"/>
      <c r="AC557" s="33"/>
      <c r="AD557" s="33">
        <f>Ruimtestaat[[#This Row],[uren / jaar weekend]]*Tariefsopbouw!$D$40</f>
        <v>0</v>
      </c>
      <c r="AE557" s="86">
        <f>Ruimtestaat[[#This Row],[Prest. (m2 /jaar) weekend]]+Ruimtestaat[[#This Row],[Prest. (m2 /jaar) werkdagen]]</f>
        <v>15750</v>
      </c>
      <c r="AF557" s="86">
        <f>Ruimtestaat[[#This Row],[uren / jaar weekend]]+Ruimtestaat[[#This Row],[uren / jaar werkdagen]]</f>
        <v>0</v>
      </c>
      <c r="AG557" s="87">
        <f>Ruimtestaat[[#This Row],[kosten / jaar weekend]]+Ruimtestaat[[#This Row],[kosten / jaar werkdagen]]</f>
        <v>0</v>
      </c>
    </row>
    <row r="558" spans="1:33" ht="15" customHeight="1">
      <c r="A558" s="187">
        <v>5</v>
      </c>
      <c r="B558" s="21" t="str">
        <f>VLOOKUP(Ruimtestaat[[#This Row],[Code]],Locaties[#All],2,FALSE)</f>
        <v>Potskamp</v>
      </c>
      <c r="C558" s="231" t="str">
        <f>VLOOKUP(Ruimtestaat[[#This Row],[Code]],Locaties[#All],4,FALSE)</f>
        <v>Potskampstraat 2</v>
      </c>
      <c r="D558" s="231" t="str">
        <f>VLOOKUP(Ruimtestaat[[#This Row],[Code]],Locaties[#All],5,FALSE)</f>
        <v>7573 CC</v>
      </c>
      <c r="E558" s="187" t="str">
        <f>VLOOKUP(Ruimtestaat[[#This Row],[Code]],Locaties[#All],6,FALSE)</f>
        <v>Oldenzaal</v>
      </c>
      <c r="F558" s="232"/>
      <c r="G558" s="187">
        <v>3</v>
      </c>
      <c r="H558" s="187">
        <v>211</v>
      </c>
      <c r="I558" s="232" t="s">
        <v>604</v>
      </c>
      <c r="J558" s="187">
        <v>16</v>
      </c>
      <c r="K558" s="187" t="str">
        <f>VLOOKUP(Ruimtestaat[[#This Row],[Ruimte code]],Ruimtegroepen[#All],2,FALSE)</f>
        <v>Leslokalen/computerlokaal</v>
      </c>
      <c r="L558" s="187" t="s">
        <v>109</v>
      </c>
      <c r="M558" s="187" t="s">
        <v>1203</v>
      </c>
      <c r="N558" s="200">
        <v>78</v>
      </c>
      <c r="O558" s="200"/>
      <c r="P558" s="231" t="str">
        <f>VLOOKUP(Ruimtestaat[[#This Row],[Ruimte code]],Ruimtegroepen[#All],4,FALSE)</f>
        <v>L  (Lesruimte)</v>
      </c>
      <c r="Q558" s="201"/>
      <c r="R558" s="202">
        <v>42</v>
      </c>
      <c r="S558" s="202" t="s">
        <v>2</v>
      </c>
      <c r="T558" s="202">
        <f>IF(R558&gt;0,IF(RIGHT(Ruimtestaat[[#This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58" s="202">
        <f>IF(T558&gt;0,VLOOKUP($J558,Ruimtegroepen[],3,FALSE)*VLOOKUP($L558,Vloersoorten[],3,FALSE)*VLOOKUP($S558,Frequenties[],3,FALSE)*VLOOKUP($A558,Locaties[],3,FALSE),0)</f>
        <v>0</v>
      </c>
      <c r="V558" s="202">
        <f>Ruimtestaat[[#This Row],[Uitvoeringen werkdagen]]*Ruimtestaat[[#This Row],[Oppervlak (netto)]]</f>
        <v>16380</v>
      </c>
      <c r="W558" s="242">
        <f>IF(U558&gt;0,Ruimtestaat[[#This Row],[Prest. (m2 /jaar) werkdagen]]/Ruimtestaat[[#This Row],[Norm (m2/uur) werkdagen]],0)</f>
        <v>0</v>
      </c>
      <c r="X558" s="243">
        <f>Ruimtestaat[[#This Row],[uren / jaar werkdagen]]*Tariefsopbouw!$D$38</f>
        <v>0</v>
      </c>
      <c r="Y558" s="33"/>
      <c r="Z558" s="33">
        <f>IF(Ruimtestaat[[#This Row],[Frequentie weekend]]&gt;0,VALUE(LEFT(Y558,1))*R558,0)</f>
        <v>0</v>
      </c>
      <c r="AA558" s="33">
        <f>IF($Z558&gt;0,VLOOKUP($J558,Ruimtegroepen[],3,FALSE)*VLOOKUP($L558,Vloersoorten[],3,FALSE)*VLOOKUP($Y558,Frequenties[],3,FALSE)*VLOOKUP(#REF!,Locaties[],3,FALSE),0)</f>
        <v>0</v>
      </c>
      <c r="AB558" s="33"/>
      <c r="AC558" s="33"/>
      <c r="AD558" s="33">
        <f>Ruimtestaat[[#This Row],[uren / jaar weekend]]*Tariefsopbouw!$D$40</f>
        <v>0</v>
      </c>
      <c r="AE558" s="86">
        <f>Ruimtestaat[[#This Row],[Prest. (m2 /jaar) weekend]]+Ruimtestaat[[#This Row],[Prest. (m2 /jaar) werkdagen]]</f>
        <v>16380</v>
      </c>
      <c r="AF558" s="86">
        <f>Ruimtestaat[[#This Row],[uren / jaar weekend]]+Ruimtestaat[[#This Row],[uren / jaar werkdagen]]</f>
        <v>0</v>
      </c>
      <c r="AG558" s="87">
        <f>Ruimtestaat[[#This Row],[kosten / jaar weekend]]+Ruimtestaat[[#This Row],[kosten / jaar werkdagen]]</f>
        <v>0</v>
      </c>
    </row>
    <row r="559" spans="1:33" ht="15" customHeight="1">
      <c r="A559" s="187">
        <v>5</v>
      </c>
      <c r="B559" s="21" t="str">
        <f>VLOOKUP(Ruimtestaat[[#This Row],[Code]],Locaties[#All],2,FALSE)</f>
        <v>Potskamp</v>
      </c>
      <c r="C559" s="231" t="str">
        <f>VLOOKUP(Ruimtestaat[[#This Row],[Code]],Locaties[#All],4,FALSE)</f>
        <v>Potskampstraat 2</v>
      </c>
      <c r="D559" s="231" t="str">
        <f>VLOOKUP(Ruimtestaat[[#This Row],[Code]],Locaties[#All],5,FALSE)</f>
        <v>7573 CC</v>
      </c>
      <c r="E559" s="187" t="str">
        <f>VLOOKUP(Ruimtestaat[[#This Row],[Code]],Locaties[#All],6,FALSE)</f>
        <v>Oldenzaal</v>
      </c>
      <c r="F559" s="232"/>
      <c r="G559" s="187">
        <v>3</v>
      </c>
      <c r="H559" s="187">
        <v>209</v>
      </c>
      <c r="I559" s="232" t="s">
        <v>604</v>
      </c>
      <c r="J559" s="231">
        <v>16</v>
      </c>
      <c r="K559" s="231" t="str">
        <f>VLOOKUP(Ruimtestaat[[#This Row],[Ruimte code]],Ruimtegroepen[#All],2,FALSE)</f>
        <v>Leslokalen/computerlokaal</v>
      </c>
      <c r="L559" s="187" t="s">
        <v>109</v>
      </c>
      <c r="M559" s="187" t="s">
        <v>1203</v>
      </c>
      <c r="N559" s="200">
        <v>64</v>
      </c>
      <c r="O559" s="200"/>
      <c r="P559" s="231" t="str">
        <f>VLOOKUP(Ruimtestaat[[#This Row],[Ruimte code]],Ruimtegroepen[#All],4,FALSE)</f>
        <v>L  (Lesruimte)</v>
      </c>
      <c r="Q559" s="201"/>
      <c r="R559" s="202">
        <v>42</v>
      </c>
      <c r="S559" s="202" t="s">
        <v>2</v>
      </c>
      <c r="T559" s="202">
        <f>IF(R559&gt;0,IF(RIGHT(Ruimtestaat[[#This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59" s="202">
        <f>IF(T559&gt;0,VLOOKUP($J559,Ruimtegroepen[],3,FALSE)*VLOOKUP($L559,Vloersoorten[],3,FALSE)*VLOOKUP($S559,Frequenties[],3,FALSE)*VLOOKUP($A559,Locaties[],3,FALSE),0)</f>
        <v>0</v>
      </c>
      <c r="V559" s="202">
        <f>Ruimtestaat[[#This Row],[Uitvoeringen werkdagen]]*Ruimtestaat[[#This Row],[Oppervlak (netto)]]</f>
        <v>13440</v>
      </c>
      <c r="W559" s="242">
        <f>IF(U559&gt;0,Ruimtestaat[[#This Row],[Prest. (m2 /jaar) werkdagen]]/Ruimtestaat[[#This Row],[Norm (m2/uur) werkdagen]],0)</f>
        <v>0</v>
      </c>
      <c r="X559" s="243">
        <f>Ruimtestaat[[#This Row],[uren / jaar werkdagen]]*Tariefsopbouw!$D$38</f>
        <v>0</v>
      </c>
      <c r="Y559" s="33"/>
      <c r="Z559" s="33">
        <f>IF(Ruimtestaat[[#This Row],[Frequentie weekend]]&gt;0,VALUE(LEFT(Y559,1))*R559,0)</f>
        <v>0</v>
      </c>
      <c r="AA559" s="33">
        <f>IF($Z559&gt;0,VLOOKUP($J559,Ruimtegroepen[],3,FALSE)*VLOOKUP($L559,Vloersoorten[],3,FALSE)*VLOOKUP($Y559,Frequenties[],3,FALSE)*VLOOKUP(#REF!,Locaties[],3,FALSE),0)</f>
        <v>0</v>
      </c>
      <c r="AB559" s="33"/>
      <c r="AC559" s="33"/>
      <c r="AD559" s="33">
        <f>Ruimtestaat[[#This Row],[uren / jaar weekend]]*Tariefsopbouw!$D$40</f>
        <v>0</v>
      </c>
      <c r="AE559" s="86">
        <f>Ruimtestaat[[#This Row],[Prest. (m2 /jaar) weekend]]+Ruimtestaat[[#This Row],[Prest. (m2 /jaar) werkdagen]]</f>
        <v>13440</v>
      </c>
      <c r="AF559" s="86">
        <f>Ruimtestaat[[#This Row],[uren / jaar weekend]]+Ruimtestaat[[#This Row],[uren / jaar werkdagen]]</f>
        <v>0</v>
      </c>
      <c r="AG559" s="87">
        <f>Ruimtestaat[[#This Row],[kosten / jaar weekend]]+Ruimtestaat[[#This Row],[kosten / jaar werkdagen]]</f>
        <v>0</v>
      </c>
    </row>
    <row r="560" spans="1:33" ht="15" customHeight="1">
      <c r="A560" s="187">
        <v>5</v>
      </c>
      <c r="B560" s="21" t="str">
        <f>VLOOKUP(Ruimtestaat[[#This Row],[Code]],Locaties[#All],2,FALSE)</f>
        <v>Potskamp</v>
      </c>
      <c r="C560" s="231" t="str">
        <f>VLOOKUP(Ruimtestaat[[#This Row],[Code]],Locaties[#All],4,FALSE)</f>
        <v>Potskampstraat 2</v>
      </c>
      <c r="D560" s="231" t="str">
        <f>VLOOKUP(Ruimtestaat[[#This Row],[Code]],Locaties[#All],5,FALSE)</f>
        <v>7573 CC</v>
      </c>
      <c r="E560" s="187" t="str">
        <f>VLOOKUP(Ruimtestaat[[#This Row],[Code]],Locaties[#All],6,FALSE)</f>
        <v>Oldenzaal</v>
      </c>
      <c r="F560" s="232"/>
      <c r="G560" s="187">
        <v>3</v>
      </c>
      <c r="H560" s="187"/>
      <c r="I560" s="232" t="s">
        <v>629</v>
      </c>
      <c r="J560" s="187">
        <v>6</v>
      </c>
      <c r="K560" s="187" t="str">
        <f>VLOOKUP(Ruimtestaat[[#This Row],[Ruimte code]],Ruimtegroepen[#All],2,FALSE)</f>
        <v>Gangen/hallen</v>
      </c>
      <c r="L560" s="202" t="s">
        <v>108</v>
      </c>
      <c r="M560" s="187" t="s">
        <v>1209</v>
      </c>
      <c r="N560" s="200">
        <v>28</v>
      </c>
      <c r="O560" s="200"/>
      <c r="P560" s="231" t="str">
        <f>VLOOKUP(Ruimtestaat[[#This Row],[Ruimte code]],Ruimtegroepen[#All],4,FALSE)</f>
        <v>V  (Verkeersruimte)</v>
      </c>
      <c r="Q560" s="201"/>
      <c r="R560" s="202">
        <v>42</v>
      </c>
      <c r="S560" s="202" t="s">
        <v>2</v>
      </c>
      <c r="T560" s="202">
        <f>IF(R560&gt;0,IF(RIGHT(Ruimtestaat[[#This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60" s="202">
        <f>IF(T560&gt;0,VLOOKUP($J560,Ruimtegroepen[],3,FALSE)*VLOOKUP($L560,Vloersoorten[],3,FALSE)*VLOOKUP($S560,Frequenties[],3,FALSE)*VLOOKUP($A560,Locaties[],3,FALSE),0)</f>
        <v>0</v>
      </c>
      <c r="V560" s="202">
        <f>Ruimtestaat[[#This Row],[Uitvoeringen werkdagen]]*Ruimtestaat[[#This Row],[Oppervlak (netto)]]</f>
        <v>5880</v>
      </c>
      <c r="W560" s="242">
        <f>IF(U560&gt;0,Ruimtestaat[[#This Row],[Prest. (m2 /jaar) werkdagen]]/Ruimtestaat[[#This Row],[Norm (m2/uur) werkdagen]],0)</f>
        <v>0</v>
      </c>
      <c r="X560" s="243">
        <f>Ruimtestaat[[#This Row],[uren / jaar werkdagen]]*Tariefsopbouw!$D$38</f>
        <v>0</v>
      </c>
      <c r="Y560" s="33"/>
      <c r="Z560" s="33">
        <f>IF(Ruimtestaat[[#This Row],[Frequentie weekend]]&gt;0,VALUE(LEFT(Y560,1))*R560,0)</f>
        <v>0</v>
      </c>
      <c r="AA560" s="33">
        <f>IF($Z560&gt;0,VLOOKUP($J560,Ruimtegroepen[],3,FALSE)*VLOOKUP($L560,Vloersoorten[],3,FALSE)*VLOOKUP($Y560,Frequenties[],3,FALSE)*VLOOKUP(#REF!,Locaties[],3,FALSE),0)</f>
        <v>0</v>
      </c>
      <c r="AB560" s="33"/>
      <c r="AC560" s="33"/>
      <c r="AD560" s="33">
        <f>Ruimtestaat[[#This Row],[uren / jaar weekend]]*Tariefsopbouw!$D$40</f>
        <v>0</v>
      </c>
      <c r="AE560" s="86">
        <f>Ruimtestaat[[#This Row],[Prest. (m2 /jaar) weekend]]+Ruimtestaat[[#This Row],[Prest. (m2 /jaar) werkdagen]]</f>
        <v>5880</v>
      </c>
      <c r="AF560" s="86">
        <f>Ruimtestaat[[#This Row],[uren / jaar weekend]]+Ruimtestaat[[#This Row],[uren / jaar werkdagen]]</f>
        <v>0</v>
      </c>
      <c r="AG560" s="87">
        <f>Ruimtestaat[[#This Row],[kosten / jaar weekend]]+Ruimtestaat[[#This Row],[kosten / jaar werkdagen]]</f>
        <v>0</v>
      </c>
    </row>
    <row r="561" spans="1:33" ht="15" customHeight="1">
      <c r="A561" s="187">
        <v>5</v>
      </c>
      <c r="B561" s="21" t="str">
        <f>VLOOKUP(Ruimtestaat[[#This Row],[Code]],Locaties[#All],2,FALSE)</f>
        <v>Potskamp</v>
      </c>
      <c r="C561" s="231" t="str">
        <f>VLOOKUP(Ruimtestaat[[#This Row],[Code]],Locaties[#All],4,FALSE)</f>
        <v>Potskampstraat 2</v>
      </c>
      <c r="D561" s="231" t="str">
        <f>VLOOKUP(Ruimtestaat[[#This Row],[Code]],Locaties[#All],5,FALSE)</f>
        <v>7573 CC</v>
      </c>
      <c r="E561" s="187" t="str">
        <f>VLOOKUP(Ruimtestaat[[#This Row],[Code]],Locaties[#All],6,FALSE)</f>
        <v>Oldenzaal</v>
      </c>
      <c r="F561" s="232"/>
      <c r="G561" s="187">
        <v>3</v>
      </c>
      <c r="H561" s="202"/>
      <c r="I561" s="241" t="s">
        <v>629</v>
      </c>
      <c r="J561" s="187">
        <v>6</v>
      </c>
      <c r="K561" s="187" t="str">
        <f>VLOOKUP(Ruimtestaat[[#This Row],[Ruimte code]],Ruimtegroepen[#All],2,FALSE)</f>
        <v>Gangen/hallen</v>
      </c>
      <c r="L561" s="202" t="s">
        <v>108</v>
      </c>
      <c r="M561" s="187" t="s">
        <v>1209</v>
      </c>
      <c r="N561" s="200">
        <v>48</v>
      </c>
      <c r="O561" s="200"/>
      <c r="P561" s="231" t="str">
        <f>VLOOKUP(Ruimtestaat[[#This Row],[Ruimte code]],Ruimtegroepen[#All],4,FALSE)</f>
        <v>V  (Verkeersruimte)</v>
      </c>
      <c r="Q561" s="201"/>
      <c r="R561" s="202">
        <v>42</v>
      </c>
      <c r="S561" s="202" t="s">
        <v>2</v>
      </c>
      <c r="T561" s="202">
        <f>IF(R561&gt;0,IF(RIGHT(Ruimtestaat[[#This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61" s="202">
        <f>IF(T561&gt;0,VLOOKUP($J561,Ruimtegroepen[],3,FALSE)*VLOOKUP($L561,Vloersoorten[],3,FALSE)*VLOOKUP($S561,Frequenties[],3,FALSE)*VLOOKUP($A561,Locaties[],3,FALSE),0)</f>
        <v>0</v>
      </c>
      <c r="V561" s="202">
        <f>Ruimtestaat[[#This Row],[Uitvoeringen werkdagen]]*Ruimtestaat[[#This Row],[Oppervlak (netto)]]</f>
        <v>10080</v>
      </c>
      <c r="W561" s="242">
        <f>IF(U561&gt;0,Ruimtestaat[[#This Row],[Prest. (m2 /jaar) werkdagen]]/Ruimtestaat[[#This Row],[Norm (m2/uur) werkdagen]],0)</f>
        <v>0</v>
      </c>
      <c r="X561" s="243">
        <f>Ruimtestaat[[#This Row],[uren / jaar werkdagen]]*Tariefsopbouw!$D$38</f>
        <v>0</v>
      </c>
      <c r="Y561" s="33"/>
      <c r="Z561" s="33">
        <f>IF(Ruimtestaat[[#This Row],[Frequentie weekend]]&gt;0,VALUE(LEFT(Y561,1))*R561,0)</f>
        <v>0</v>
      </c>
      <c r="AA561" s="33">
        <f>IF($Z561&gt;0,VLOOKUP($J561,Ruimtegroepen[],3,FALSE)*VLOOKUP($L561,Vloersoorten[],3,FALSE)*VLOOKUP($Y561,Frequenties[],3,FALSE)*VLOOKUP(#REF!,Locaties[],3,FALSE),0)</f>
        <v>0</v>
      </c>
      <c r="AB561" s="33"/>
      <c r="AC561" s="33"/>
      <c r="AD561" s="33">
        <f>Ruimtestaat[[#This Row],[uren / jaar weekend]]*Tariefsopbouw!$D$40</f>
        <v>0</v>
      </c>
      <c r="AE561" s="86">
        <f>Ruimtestaat[[#This Row],[Prest. (m2 /jaar) weekend]]+Ruimtestaat[[#This Row],[Prest. (m2 /jaar) werkdagen]]</f>
        <v>10080</v>
      </c>
      <c r="AF561" s="86">
        <f>Ruimtestaat[[#This Row],[uren / jaar weekend]]+Ruimtestaat[[#This Row],[uren / jaar werkdagen]]</f>
        <v>0</v>
      </c>
      <c r="AG561" s="87">
        <f>Ruimtestaat[[#This Row],[kosten / jaar weekend]]+Ruimtestaat[[#This Row],[kosten / jaar werkdagen]]</f>
        <v>0</v>
      </c>
    </row>
    <row r="562" spans="1:33" ht="15" customHeight="1">
      <c r="A562" s="187">
        <v>5</v>
      </c>
      <c r="B562" s="21" t="str">
        <f>VLOOKUP(Ruimtestaat[[#This Row],[Code]],Locaties[#All],2,FALSE)</f>
        <v>Potskamp</v>
      </c>
      <c r="C562" s="231" t="str">
        <f>VLOOKUP(Ruimtestaat[[#This Row],[Code]],Locaties[#All],4,FALSE)</f>
        <v>Potskampstraat 2</v>
      </c>
      <c r="D562" s="231" t="str">
        <f>VLOOKUP(Ruimtestaat[[#This Row],[Code]],Locaties[#All],5,FALSE)</f>
        <v>7573 CC</v>
      </c>
      <c r="E562" s="187" t="str">
        <f>VLOOKUP(Ruimtestaat[[#This Row],[Code]],Locaties[#All],6,FALSE)</f>
        <v>Oldenzaal</v>
      </c>
      <c r="F562" s="232"/>
      <c r="G562" s="187">
        <v>3</v>
      </c>
      <c r="H562" s="202"/>
      <c r="I562" s="241" t="s">
        <v>749</v>
      </c>
      <c r="J562" s="231">
        <v>10</v>
      </c>
      <c r="K562" s="231" t="str">
        <f>VLOOKUP(Ruimtestaat[[#This Row],[Ruimte code]],Ruimtegroepen[#All],2,FALSE)</f>
        <v>Trappenhuizen/lift</v>
      </c>
      <c r="L562" s="202" t="s">
        <v>108</v>
      </c>
      <c r="M562" s="187" t="s">
        <v>1209</v>
      </c>
      <c r="N562" s="200">
        <v>6</v>
      </c>
      <c r="O562" s="200"/>
      <c r="P562" s="231" t="str">
        <f>VLOOKUP(Ruimtestaat[[#This Row],[Ruimte code]],Ruimtegroepen[#All],4,FALSE)</f>
        <v>V  (Verkeersruimte)</v>
      </c>
      <c r="Q562" s="201"/>
      <c r="R562" s="202">
        <v>42</v>
      </c>
      <c r="S562" s="202" t="s">
        <v>2</v>
      </c>
      <c r="T562" s="202">
        <f>IF(R562&gt;0,IF(RIGHT(Ruimtestaat[[#This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62" s="202">
        <f>IF(T562&gt;0,VLOOKUP($J562,Ruimtegroepen[],3,FALSE)*VLOOKUP($L562,Vloersoorten[],3,FALSE)*VLOOKUP($S562,Frequenties[],3,FALSE)*VLOOKUP($A562,Locaties[],3,FALSE),0)</f>
        <v>0</v>
      </c>
      <c r="V562" s="202">
        <f>Ruimtestaat[[#This Row],[Uitvoeringen werkdagen]]*Ruimtestaat[[#This Row],[Oppervlak (netto)]]</f>
        <v>1260</v>
      </c>
      <c r="W562" s="242">
        <f>IF(U562&gt;0,Ruimtestaat[[#This Row],[Prest. (m2 /jaar) werkdagen]]/Ruimtestaat[[#This Row],[Norm (m2/uur) werkdagen]],0)</f>
        <v>0</v>
      </c>
      <c r="X562" s="243">
        <f>Ruimtestaat[[#This Row],[uren / jaar werkdagen]]*Tariefsopbouw!$D$38</f>
        <v>0</v>
      </c>
      <c r="Y562" s="33"/>
      <c r="Z562" s="33">
        <f>IF(Ruimtestaat[[#This Row],[Frequentie weekend]]&gt;0,VALUE(LEFT(Y562,1))*R562,0)</f>
        <v>0</v>
      </c>
      <c r="AA562" s="33">
        <f>IF($Z562&gt;0,VLOOKUP($J562,Ruimtegroepen[],3,FALSE)*VLOOKUP($L562,Vloersoorten[],3,FALSE)*VLOOKUP($Y562,Frequenties[],3,FALSE)*VLOOKUP(#REF!,Locaties[],3,FALSE),0)</f>
        <v>0</v>
      </c>
      <c r="AB562" s="33"/>
      <c r="AC562" s="33"/>
      <c r="AD562" s="33">
        <f>Ruimtestaat[[#This Row],[uren / jaar weekend]]*Tariefsopbouw!$D$40</f>
        <v>0</v>
      </c>
      <c r="AE562" s="86">
        <f>Ruimtestaat[[#This Row],[Prest. (m2 /jaar) weekend]]+Ruimtestaat[[#This Row],[Prest. (m2 /jaar) werkdagen]]</f>
        <v>1260</v>
      </c>
      <c r="AF562" s="86">
        <f>Ruimtestaat[[#This Row],[uren / jaar weekend]]+Ruimtestaat[[#This Row],[uren / jaar werkdagen]]</f>
        <v>0</v>
      </c>
      <c r="AG562" s="87">
        <f>Ruimtestaat[[#This Row],[kosten / jaar weekend]]+Ruimtestaat[[#This Row],[kosten / jaar werkdagen]]</f>
        <v>0</v>
      </c>
    </row>
    <row r="563" spans="1:33" ht="15" customHeight="1">
      <c r="A563" s="187">
        <v>5</v>
      </c>
      <c r="B563" s="21" t="str">
        <f>VLOOKUP(Ruimtestaat[[#This Row],[Code]],Locaties[#All],2,FALSE)</f>
        <v>Potskamp</v>
      </c>
      <c r="C563" s="231" t="str">
        <f>VLOOKUP(Ruimtestaat[[#This Row],[Code]],Locaties[#All],4,FALSE)</f>
        <v>Potskampstraat 2</v>
      </c>
      <c r="D563" s="231" t="str">
        <f>VLOOKUP(Ruimtestaat[[#This Row],[Code]],Locaties[#All],5,FALSE)</f>
        <v>7573 CC</v>
      </c>
      <c r="E563" s="187" t="str">
        <f>VLOOKUP(Ruimtestaat[[#This Row],[Code]],Locaties[#All],6,FALSE)</f>
        <v>Oldenzaal</v>
      </c>
      <c r="F563" s="232"/>
      <c r="G563" s="187">
        <v>3</v>
      </c>
      <c r="H563" s="187"/>
      <c r="I563" s="232" t="s">
        <v>698</v>
      </c>
      <c r="J563" s="187">
        <v>5</v>
      </c>
      <c r="K563" s="187" t="str">
        <f>VLOOKUP(Ruimtestaat[[#This Row],[Ruimte code]],Ruimtegroepen[#All],2,FALSE)</f>
        <v>Sanitair</v>
      </c>
      <c r="L563" s="202" t="s">
        <v>108</v>
      </c>
      <c r="M563" s="187" t="s">
        <v>1201</v>
      </c>
      <c r="N563" s="200">
        <v>14</v>
      </c>
      <c r="O563" s="200"/>
      <c r="P563" s="231" t="str">
        <f>VLOOKUP(Ruimtestaat[[#This Row],[Ruimte code]],Ruimtegroepen[#All],4,FALSE)</f>
        <v>S  (Sanitair)</v>
      </c>
      <c r="Q563" s="201"/>
      <c r="R563" s="202">
        <v>42</v>
      </c>
      <c r="S563" s="202" t="s">
        <v>19</v>
      </c>
      <c r="T563" s="202">
        <f>IF(R563&gt;0,IF(RIGHT(Ruimtestaat[[#This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563" s="202">
        <f>IF(T563&gt;0,VLOOKUP($J563,Ruimtegroepen[],3,FALSE)*VLOOKUP($L563,Vloersoorten[],3,FALSE)*VLOOKUP($S563,Frequenties[],3,FALSE)*VLOOKUP($A563,Locaties[],3,FALSE),0)</f>
        <v>0</v>
      </c>
      <c r="V563" s="202">
        <f>Ruimtestaat[[#This Row],[Uitvoeringen werkdagen]]*Ruimtestaat[[#This Row],[Oppervlak (netto)]]</f>
        <v>5880</v>
      </c>
      <c r="W563" s="242">
        <f>IF(U563&gt;0,Ruimtestaat[[#This Row],[Prest. (m2 /jaar) werkdagen]]/Ruimtestaat[[#This Row],[Norm (m2/uur) werkdagen]],0)</f>
        <v>0</v>
      </c>
      <c r="X563" s="243">
        <f>Ruimtestaat[[#This Row],[uren / jaar werkdagen]]*Tariefsopbouw!$D$38</f>
        <v>0</v>
      </c>
      <c r="Y563" s="33"/>
      <c r="Z563" s="33">
        <f>IF(Ruimtestaat[[#This Row],[Frequentie weekend]]&gt;0,VALUE(LEFT(Y563,1))*R563,0)</f>
        <v>0</v>
      </c>
      <c r="AA563" s="33">
        <f>IF($Z563&gt;0,VLOOKUP($J563,Ruimtegroepen[],3,FALSE)*VLOOKUP($L563,Vloersoorten[],3,FALSE)*VLOOKUP($Y563,Frequenties[],3,FALSE)*VLOOKUP(#REF!,Locaties[],3,FALSE),0)</f>
        <v>0</v>
      </c>
      <c r="AB563" s="33"/>
      <c r="AC563" s="33"/>
      <c r="AD563" s="33">
        <f>Ruimtestaat[[#This Row],[uren / jaar weekend]]*Tariefsopbouw!$D$40</f>
        <v>0</v>
      </c>
      <c r="AE563" s="86">
        <f>Ruimtestaat[[#This Row],[Prest. (m2 /jaar) weekend]]+Ruimtestaat[[#This Row],[Prest. (m2 /jaar) werkdagen]]</f>
        <v>5880</v>
      </c>
      <c r="AF563" s="86">
        <f>Ruimtestaat[[#This Row],[uren / jaar weekend]]+Ruimtestaat[[#This Row],[uren / jaar werkdagen]]</f>
        <v>0</v>
      </c>
      <c r="AG563" s="87">
        <f>Ruimtestaat[[#This Row],[kosten / jaar weekend]]+Ruimtestaat[[#This Row],[kosten / jaar werkdagen]]</f>
        <v>0</v>
      </c>
    </row>
    <row r="564" spans="1:33" ht="15" customHeight="1">
      <c r="A564" s="187">
        <v>5</v>
      </c>
      <c r="B564" s="21" t="str">
        <f>VLOOKUP(Ruimtestaat[[#This Row],[Code]],Locaties[#All],2,FALSE)</f>
        <v>Potskamp</v>
      </c>
      <c r="C564" s="231" t="str">
        <f>VLOOKUP(Ruimtestaat[[#This Row],[Code]],Locaties[#All],4,FALSE)</f>
        <v>Potskampstraat 2</v>
      </c>
      <c r="D564" s="231" t="str">
        <f>VLOOKUP(Ruimtestaat[[#This Row],[Code]],Locaties[#All],5,FALSE)</f>
        <v>7573 CC</v>
      </c>
      <c r="E564" s="187" t="str">
        <f>VLOOKUP(Ruimtestaat[[#This Row],[Code]],Locaties[#All],6,FALSE)</f>
        <v>Oldenzaal</v>
      </c>
      <c r="F564" s="232"/>
      <c r="G564" s="187">
        <v>3</v>
      </c>
      <c r="H564" s="187">
        <v>212</v>
      </c>
      <c r="I564" s="232" t="s">
        <v>604</v>
      </c>
      <c r="J564" s="187">
        <v>16</v>
      </c>
      <c r="K564" s="187" t="str">
        <f>VLOOKUP(Ruimtestaat[[#This Row],[Ruimte code]],Ruimtegroepen[#All],2,FALSE)</f>
        <v>Leslokalen/computerlokaal</v>
      </c>
      <c r="L564" s="231" t="s">
        <v>1204</v>
      </c>
      <c r="M564" s="187" t="s">
        <v>1205</v>
      </c>
      <c r="N564" s="200">
        <v>60</v>
      </c>
      <c r="O564" s="200"/>
      <c r="P564" s="231" t="str">
        <f>VLOOKUP(Ruimtestaat[[#This Row],[Ruimte code]],Ruimtegroepen[#All],4,FALSE)</f>
        <v>L  (Lesruimte)</v>
      </c>
      <c r="Q564" s="201"/>
      <c r="R564" s="202">
        <v>42</v>
      </c>
      <c r="S564" s="202" t="s">
        <v>2</v>
      </c>
      <c r="T564" s="202">
        <f>IF(R564&gt;0,IF(RIGHT(Ruimtestaat[[#This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64" s="202">
        <f>IF(T564&gt;0,VLOOKUP($J564,Ruimtegroepen[],3,FALSE)*VLOOKUP($L564,Vloersoorten[],3,FALSE)*VLOOKUP($S564,Frequenties[],3,FALSE)*VLOOKUP($A564,Locaties[],3,FALSE),0)</f>
        <v>0</v>
      </c>
      <c r="V564" s="202">
        <f>Ruimtestaat[[#This Row],[Uitvoeringen werkdagen]]*Ruimtestaat[[#This Row],[Oppervlak (netto)]]</f>
        <v>12600</v>
      </c>
      <c r="W564" s="242">
        <f>IF(U564&gt;0,Ruimtestaat[[#This Row],[Prest. (m2 /jaar) werkdagen]]/Ruimtestaat[[#This Row],[Norm (m2/uur) werkdagen]],0)</f>
        <v>0</v>
      </c>
      <c r="X564" s="243">
        <f>Ruimtestaat[[#This Row],[uren / jaar werkdagen]]*Tariefsopbouw!$D$38</f>
        <v>0</v>
      </c>
      <c r="Y564" s="33"/>
      <c r="Z564" s="33">
        <f>IF(Ruimtestaat[[#This Row],[Frequentie weekend]]&gt;0,VALUE(LEFT(Y564,1))*R564,0)</f>
        <v>0</v>
      </c>
      <c r="AA564" s="33">
        <f>IF($Z564&gt;0,VLOOKUP($J564,Ruimtegroepen[],3,FALSE)*VLOOKUP($L564,Vloersoorten[],3,FALSE)*VLOOKUP($Y564,Frequenties[],3,FALSE)*VLOOKUP(#REF!,Locaties[],3,FALSE),0)</f>
        <v>0</v>
      </c>
      <c r="AB564" s="33"/>
      <c r="AC564" s="33"/>
      <c r="AD564" s="33">
        <f>Ruimtestaat[[#This Row],[uren / jaar weekend]]*Tariefsopbouw!$D$40</f>
        <v>0</v>
      </c>
      <c r="AE564" s="86">
        <f>Ruimtestaat[[#This Row],[Prest. (m2 /jaar) weekend]]+Ruimtestaat[[#This Row],[Prest. (m2 /jaar) werkdagen]]</f>
        <v>12600</v>
      </c>
      <c r="AF564" s="86">
        <f>Ruimtestaat[[#This Row],[uren / jaar weekend]]+Ruimtestaat[[#This Row],[uren / jaar werkdagen]]</f>
        <v>0</v>
      </c>
      <c r="AG564" s="87">
        <f>Ruimtestaat[[#This Row],[kosten / jaar weekend]]+Ruimtestaat[[#This Row],[kosten / jaar werkdagen]]</f>
        <v>0</v>
      </c>
    </row>
    <row r="565" spans="1:33" ht="15" customHeight="1">
      <c r="A565" s="187">
        <v>5</v>
      </c>
      <c r="B565" s="21" t="str">
        <f>VLOOKUP(Ruimtestaat[[#This Row],[Code]],Locaties[#All],2,FALSE)</f>
        <v>Potskamp</v>
      </c>
      <c r="C565" s="231" t="str">
        <f>VLOOKUP(Ruimtestaat[[#This Row],[Code]],Locaties[#All],4,FALSE)</f>
        <v>Potskampstraat 2</v>
      </c>
      <c r="D565" s="231" t="str">
        <f>VLOOKUP(Ruimtestaat[[#This Row],[Code]],Locaties[#All],5,FALSE)</f>
        <v>7573 CC</v>
      </c>
      <c r="E565" s="187" t="str">
        <f>VLOOKUP(Ruimtestaat[[#This Row],[Code]],Locaties[#All],6,FALSE)</f>
        <v>Oldenzaal</v>
      </c>
      <c r="F565" s="232"/>
      <c r="G565" s="187">
        <v>3</v>
      </c>
      <c r="H565" s="187">
        <v>213</v>
      </c>
      <c r="I565" s="232" t="s">
        <v>604</v>
      </c>
      <c r="J565" s="187">
        <v>16</v>
      </c>
      <c r="K565" s="187" t="str">
        <f>VLOOKUP(Ruimtestaat[[#This Row],[Ruimte code]],Ruimtegroepen[#All],2,FALSE)</f>
        <v>Leslokalen/computerlokaal</v>
      </c>
      <c r="L565" s="231" t="s">
        <v>1204</v>
      </c>
      <c r="M565" s="187" t="s">
        <v>1205</v>
      </c>
      <c r="N565" s="200">
        <v>62</v>
      </c>
      <c r="O565" s="200"/>
      <c r="P565" s="231" t="str">
        <f>VLOOKUP(Ruimtestaat[[#This Row],[Ruimte code]],Ruimtegroepen[#All],4,FALSE)</f>
        <v>L  (Lesruimte)</v>
      </c>
      <c r="Q565" s="201"/>
      <c r="R565" s="202">
        <v>42</v>
      </c>
      <c r="S565" s="202" t="s">
        <v>2</v>
      </c>
      <c r="T565" s="202">
        <f>IF(R565&gt;0,IF(RIGHT(Ruimtestaat[[#This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65" s="202">
        <f>IF(T565&gt;0,VLOOKUP($J565,Ruimtegroepen[],3,FALSE)*VLOOKUP($L565,Vloersoorten[],3,FALSE)*VLOOKUP($S565,Frequenties[],3,FALSE)*VLOOKUP($A565,Locaties[],3,FALSE),0)</f>
        <v>0</v>
      </c>
      <c r="V565" s="202">
        <f>Ruimtestaat[[#This Row],[Uitvoeringen werkdagen]]*Ruimtestaat[[#This Row],[Oppervlak (netto)]]</f>
        <v>13020</v>
      </c>
      <c r="W565" s="242">
        <f>IF(U565&gt;0,Ruimtestaat[[#This Row],[Prest. (m2 /jaar) werkdagen]]/Ruimtestaat[[#This Row],[Norm (m2/uur) werkdagen]],0)</f>
        <v>0</v>
      </c>
      <c r="X565" s="243">
        <f>Ruimtestaat[[#This Row],[uren / jaar werkdagen]]*Tariefsopbouw!$D$38</f>
        <v>0</v>
      </c>
      <c r="Y565" s="33"/>
      <c r="Z565" s="33">
        <f>IF(Ruimtestaat[[#This Row],[Frequentie weekend]]&gt;0,VALUE(LEFT(Y565,1))*R565,0)</f>
        <v>0</v>
      </c>
      <c r="AA565" s="33">
        <f>IF($Z565&gt;0,VLOOKUP($J565,Ruimtegroepen[],3,FALSE)*VLOOKUP($L565,Vloersoorten[],3,FALSE)*VLOOKUP($Y565,Frequenties[],3,FALSE)*VLOOKUP(#REF!,Locaties[],3,FALSE),0)</f>
        <v>0</v>
      </c>
      <c r="AB565" s="33"/>
      <c r="AC565" s="33"/>
      <c r="AD565" s="33">
        <f>Ruimtestaat[[#This Row],[uren / jaar weekend]]*Tariefsopbouw!$D$40</f>
        <v>0</v>
      </c>
      <c r="AE565" s="86">
        <f>Ruimtestaat[[#This Row],[Prest. (m2 /jaar) weekend]]+Ruimtestaat[[#This Row],[Prest. (m2 /jaar) werkdagen]]</f>
        <v>13020</v>
      </c>
      <c r="AF565" s="86">
        <f>Ruimtestaat[[#This Row],[uren / jaar weekend]]+Ruimtestaat[[#This Row],[uren / jaar werkdagen]]</f>
        <v>0</v>
      </c>
      <c r="AG565" s="87">
        <f>Ruimtestaat[[#This Row],[kosten / jaar weekend]]+Ruimtestaat[[#This Row],[kosten / jaar werkdagen]]</f>
        <v>0</v>
      </c>
    </row>
    <row r="566" spans="1:33" ht="15" customHeight="1">
      <c r="A566" s="187">
        <v>5</v>
      </c>
      <c r="B566" s="21" t="str">
        <f>VLOOKUP(Ruimtestaat[[#This Row],[Code]],Locaties[#All],2,FALSE)</f>
        <v>Potskamp</v>
      </c>
      <c r="C566" s="231" t="str">
        <f>VLOOKUP(Ruimtestaat[[#This Row],[Code]],Locaties[#All],4,FALSE)</f>
        <v>Potskampstraat 2</v>
      </c>
      <c r="D566" s="231" t="str">
        <f>VLOOKUP(Ruimtestaat[[#This Row],[Code]],Locaties[#All],5,FALSE)</f>
        <v>7573 CC</v>
      </c>
      <c r="E566" s="187" t="str">
        <f>VLOOKUP(Ruimtestaat[[#This Row],[Code]],Locaties[#All],6,FALSE)</f>
        <v>Oldenzaal</v>
      </c>
      <c r="F566" s="232"/>
      <c r="G566" s="187">
        <v>3</v>
      </c>
      <c r="H566" s="187" t="s">
        <v>764</v>
      </c>
      <c r="I566" s="232" t="s">
        <v>604</v>
      </c>
      <c r="J566" s="187">
        <v>16</v>
      </c>
      <c r="K566" s="187" t="str">
        <f>VLOOKUP(Ruimtestaat[[#This Row],[Ruimte code]],Ruimtegroepen[#All],2,FALSE)</f>
        <v>Leslokalen/computerlokaal</v>
      </c>
      <c r="L566" s="231" t="s">
        <v>1204</v>
      </c>
      <c r="M566" s="187" t="s">
        <v>1205</v>
      </c>
      <c r="N566" s="200">
        <v>314</v>
      </c>
      <c r="O566" s="200"/>
      <c r="P566" s="231" t="str">
        <f>VLOOKUP(Ruimtestaat[[#This Row],[Ruimte code]],Ruimtegroepen[#All],4,FALSE)</f>
        <v>L  (Lesruimte)</v>
      </c>
      <c r="Q566" s="201"/>
      <c r="R566" s="202">
        <v>42</v>
      </c>
      <c r="S566" s="202" t="s">
        <v>2</v>
      </c>
      <c r="T566" s="202">
        <f>IF(R566&gt;0,IF(RIGHT(Ruimtestaat[[#This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66" s="202">
        <f>IF(T566&gt;0,VLOOKUP($J566,Ruimtegroepen[],3,FALSE)*VLOOKUP($L566,Vloersoorten[],3,FALSE)*VLOOKUP($S566,Frequenties[],3,FALSE)*VLOOKUP($A566,Locaties[],3,FALSE),0)</f>
        <v>0</v>
      </c>
      <c r="V566" s="202">
        <f>Ruimtestaat[[#This Row],[Uitvoeringen werkdagen]]*Ruimtestaat[[#This Row],[Oppervlak (netto)]]</f>
        <v>65940</v>
      </c>
      <c r="W566" s="242">
        <f>IF(U566&gt;0,Ruimtestaat[[#This Row],[Prest. (m2 /jaar) werkdagen]]/Ruimtestaat[[#This Row],[Norm (m2/uur) werkdagen]],0)</f>
        <v>0</v>
      </c>
      <c r="X566" s="243">
        <f>Ruimtestaat[[#This Row],[uren / jaar werkdagen]]*Tariefsopbouw!$D$38</f>
        <v>0</v>
      </c>
      <c r="Y566" s="33"/>
      <c r="Z566" s="33">
        <f>IF(Ruimtestaat[[#This Row],[Frequentie weekend]]&gt;0,VALUE(LEFT(Y566,1))*R566,0)</f>
        <v>0</v>
      </c>
      <c r="AA566" s="33">
        <f>IF($Z566&gt;0,VLOOKUP($J566,Ruimtegroepen[],3,FALSE)*VLOOKUP($L566,Vloersoorten[],3,FALSE)*VLOOKUP($Y566,Frequenties[],3,FALSE)*VLOOKUP(#REF!,Locaties[],3,FALSE),0)</f>
        <v>0</v>
      </c>
      <c r="AB566" s="33"/>
      <c r="AC566" s="33"/>
      <c r="AD566" s="33">
        <f>Ruimtestaat[[#This Row],[uren / jaar weekend]]*Tariefsopbouw!$D$40</f>
        <v>0</v>
      </c>
      <c r="AE566" s="86">
        <f>Ruimtestaat[[#This Row],[Prest. (m2 /jaar) weekend]]+Ruimtestaat[[#This Row],[Prest. (m2 /jaar) werkdagen]]</f>
        <v>65940</v>
      </c>
      <c r="AF566" s="86">
        <f>Ruimtestaat[[#This Row],[uren / jaar weekend]]+Ruimtestaat[[#This Row],[uren / jaar werkdagen]]</f>
        <v>0</v>
      </c>
      <c r="AG566" s="87">
        <f>Ruimtestaat[[#This Row],[kosten / jaar weekend]]+Ruimtestaat[[#This Row],[kosten / jaar werkdagen]]</f>
        <v>0</v>
      </c>
    </row>
    <row r="567" spans="1:33" ht="15" customHeight="1">
      <c r="A567" s="187">
        <v>5</v>
      </c>
      <c r="B567" s="21" t="str">
        <f>VLOOKUP(Ruimtestaat[[#This Row],[Code]],Locaties[#All],2,FALSE)</f>
        <v>Potskamp</v>
      </c>
      <c r="C567" s="231" t="str">
        <f>VLOOKUP(Ruimtestaat[[#This Row],[Code]],Locaties[#All],4,FALSE)</f>
        <v>Potskampstraat 2</v>
      </c>
      <c r="D567" s="231" t="str">
        <f>VLOOKUP(Ruimtestaat[[#This Row],[Code]],Locaties[#All],5,FALSE)</f>
        <v>7573 CC</v>
      </c>
      <c r="E567" s="187" t="str">
        <f>VLOOKUP(Ruimtestaat[[#This Row],[Code]],Locaties[#All],6,FALSE)</f>
        <v>Oldenzaal</v>
      </c>
      <c r="F567" s="232"/>
      <c r="G567" s="187">
        <v>3</v>
      </c>
      <c r="H567" s="187">
        <v>3.4</v>
      </c>
      <c r="I567" s="232" t="s">
        <v>372</v>
      </c>
      <c r="J567" s="187">
        <v>6</v>
      </c>
      <c r="K567" s="187" t="str">
        <f>VLOOKUP(Ruimtestaat[[#This Row],[Ruimte code]],Ruimtegroepen[#All],2,FALSE)</f>
        <v>Gangen/hallen</v>
      </c>
      <c r="L567" s="187" t="s">
        <v>109</v>
      </c>
      <c r="M567" s="187" t="s">
        <v>1203</v>
      </c>
      <c r="N567" s="200">
        <v>50</v>
      </c>
      <c r="O567" s="200"/>
      <c r="P567" s="231" t="str">
        <f>VLOOKUP(Ruimtestaat[[#This Row],[Ruimte code]],Ruimtegroepen[#All],4,FALSE)</f>
        <v>V  (Verkeersruimte)</v>
      </c>
      <c r="Q567" s="201"/>
      <c r="R567" s="202">
        <v>42</v>
      </c>
      <c r="S567" s="202" t="s">
        <v>2</v>
      </c>
      <c r="T567" s="202">
        <f>IF(R567&gt;0,IF(RIGHT(Ruimtestaat[[#This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67" s="202">
        <f>IF(T567&gt;0,VLOOKUP($J567,Ruimtegroepen[],3,FALSE)*VLOOKUP($L567,Vloersoorten[],3,FALSE)*VLOOKUP($S567,Frequenties[],3,FALSE)*VLOOKUP($A567,Locaties[],3,FALSE),0)</f>
        <v>0</v>
      </c>
      <c r="V567" s="202">
        <f>Ruimtestaat[[#This Row],[Uitvoeringen werkdagen]]*Ruimtestaat[[#This Row],[Oppervlak (netto)]]</f>
        <v>10500</v>
      </c>
      <c r="W567" s="242">
        <f>IF(U567&gt;0,Ruimtestaat[[#This Row],[Prest. (m2 /jaar) werkdagen]]/Ruimtestaat[[#This Row],[Norm (m2/uur) werkdagen]],0)</f>
        <v>0</v>
      </c>
      <c r="X567" s="243">
        <f>Ruimtestaat[[#This Row],[uren / jaar werkdagen]]*Tariefsopbouw!$D$38</f>
        <v>0</v>
      </c>
      <c r="Y567" s="33"/>
      <c r="Z567" s="33">
        <f>IF(Ruimtestaat[[#This Row],[Frequentie weekend]]&gt;0,VALUE(LEFT(Y567,1))*R567,0)</f>
        <v>0</v>
      </c>
      <c r="AA567" s="33">
        <f>IF($Z567&gt;0,VLOOKUP($J567,Ruimtegroepen[],3,FALSE)*VLOOKUP($L567,Vloersoorten[],3,FALSE)*VLOOKUP($Y567,Frequenties[],3,FALSE)*VLOOKUP(#REF!,Locaties[],3,FALSE),0)</f>
        <v>0</v>
      </c>
      <c r="AB567" s="33"/>
      <c r="AC567" s="33"/>
      <c r="AD567" s="33">
        <f>Ruimtestaat[[#This Row],[uren / jaar weekend]]*Tariefsopbouw!$D$40</f>
        <v>0</v>
      </c>
      <c r="AE567" s="86">
        <f>Ruimtestaat[[#This Row],[Prest. (m2 /jaar) weekend]]+Ruimtestaat[[#This Row],[Prest. (m2 /jaar) werkdagen]]</f>
        <v>10500</v>
      </c>
      <c r="AF567" s="86">
        <f>Ruimtestaat[[#This Row],[uren / jaar weekend]]+Ruimtestaat[[#This Row],[uren / jaar werkdagen]]</f>
        <v>0</v>
      </c>
      <c r="AG567" s="87">
        <f>Ruimtestaat[[#This Row],[kosten / jaar weekend]]+Ruimtestaat[[#This Row],[kosten / jaar werkdagen]]</f>
        <v>0</v>
      </c>
    </row>
    <row r="568" spans="1:33" ht="15" customHeight="1">
      <c r="A568" s="187">
        <v>5</v>
      </c>
      <c r="B568" s="21" t="str">
        <f>VLOOKUP(Ruimtestaat[[#This Row],[Code]],Locaties[#All],2,FALSE)</f>
        <v>Potskamp</v>
      </c>
      <c r="C568" s="231" t="str">
        <f>VLOOKUP(Ruimtestaat[[#This Row],[Code]],Locaties[#All],4,FALSE)</f>
        <v>Potskampstraat 2</v>
      </c>
      <c r="D568" s="231" t="str">
        <f>VLOOKUP(Ruimtestaat[[#This Row],[Code]],Locaties[#All],5,FALSE)</f>
        <v>7573 CC</v>
      </c>
      <c r="E568" s="187" t="str">
        <f>VLOOKUP(Ruimtestaat[[#This Row],[Code]],Locaties[#All],6,FALSE)</f>
        <v>Oldenzaal</v>
      </c>
      <c r="F568" s="232"/>
      <c r="G568" s="187">
        <v>3</v>
      </c>
      <c r="H568" s="187"/>
      <c r="I568" s="232" t="s">
        <v>473</v>
      </c>
      <c r="J568" s="231">
        <v>6</v>
      </c>
      <c r="K568" s="231" t="str">
        <f>VLOOKUP(Ruimtestaat[[#This Row],[Ruimte code]],Ruimtegroepen[#All],2,FALSE)</f>
        <v>Gangen/hallen</v>
      </c>
      <c r="L568" s="187" t="s">
        <v>109</v>
      </c>
      <c r="M568" s="187" t="s">
        <v>1203</v>
      </c>
      <c r="N568" s="200">
        <v>18</v>
      </c>
      <c r="O568" s="200"/>
      <c r="P568" s="231" t="str">
        <f>VLOOKUP(Ruimtestaat[[#This Row],[Ruimte code]],Ruimtegroepen[#All],4,FALSE)</f>
        <v>V  (Verkeersruimte)</v>
      </c>
      <c r="Q568" s="201"/>
      <c r="R568" s="202">
        <v>42</v>
      </c>
      <c r="S568" s="202" t="s">
        <v>2</v>
      </c>
      <c r="T568" s="202">
        <f>IF(R568&gt;0,IF(RIGHT(Ruimtestaat[[#This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68" s="202">
        <f>IF(T568&gt;0,VLOOKUP($J568,Ruimtegroepen[],3,FALSE)*VLOOKUP($L568,Vloersoorten[],3,FALSE)*VLOOKUP($S568,Frequenties[],3,FALSE)*VLOOKUP($A568,Locaties[],3,FALSE),0)</f>
        <v>0</v>
      </c>
      <c r="V568" s="202">
        <f>Ruimtestaat[[#This Row],[Uitvoeringen werkdagen]]*Ruimtestaat[[#This Row],[Oppervlak (netto)]]</f>
        <v>3780</v>
      </c>
      <c r="W568" s="242">
        <f>IF(U568&gt;0,Ruimtestaat[[#This Row],[Prest. (m2 /jaar) werkdagen]]/Ruimtestaat[[#This Row],[Norm (m2/uur) werkdagen]],0)</f>
        <v>0</v>
      </c>
      <c r="X568" s="243">
        <f>Ruimtestaat[[#This Row],[uren / jaar werkdagen]]*Tariefsopbouw!$D$38</f>
        <v>0</v>
      </c>
      <c r="Y568" s="33"/>
      <c r="Z568" s="33">
        <f>IF(Ruimtestaat[[#This Row],[Frequentie weekend]]&gt;0,VALUE(LEFT(Y568,1))*R568,0)</f>
        <v>0</v>
      </c>
      <c r="AA568" s="33">
        <f>IF($Z568&gt;0,VLOOKUP($J568,Ruimtegroepen[],3,FALSE)*VLOOKUP($L568,Vloersoorten[],3,FALSE)*VLOOKUP($Y568,Frequenties[],3,FALSE)*VLOOKUP(#REF!,Locaties[],3,FALSE),0)</f>
        <v>0</v>
      </c>
      <c r="AB568" s="33"/>
      <c r="AC568" s="33"/>
      <c r="AD568" s="33">
        <f>Ruimtestaat[[#This Row],[uren / jaar weekend]]*Tariefsopbouw!$D$40</f>
        <v>0</v>
      </c>
      <c r="AE568" s="86">
        <f>Ruimtestaat[[#This Row],[Prest. (m2 /jaar) weekend]]+Ruimtestaat[[#This Row],[Prest. (m2 /jaar) werkdagen]]</f>
        <v>3780</v>
      </c>
      <c r="AF568" s="86">
        <f>Ruimtestaat[[#This Row],[uren / jaar weekend]]+Ruimtestaat[[#This Row],[uren / jaar werkdagen]]</f>
        <v>0</v>
      </c>
      <c r="AG568" s="87">
        <f>Ruimtestaat[[#This Row],[kosten / jaar weekend]]+Ruimtestaat[[#This Row],[kosten / jaar werkdagen]]</f>
        <v>0</v>
      </c>
    </row>
    <row r="569" spans="1:33" ht="15" customHeight="1">
      <c r="A569" s="187">
        <v>5</v>
      </c>
      <c r="B569" s="21" t="str">
        <f>VLOOKUP(Ruimtestaat[[#This Row],[Code]],Locaties[#All],2,FALSE)</f>
        <v>Potskamp</v>
      </c>
      <c r="C569" s="231" t="str">
        <f>VLOOKUP(Ruimtestaat[[#This Row],[Code]],Locaties[#All],4,FALSE)</f>
        <v>Potskampstraat 2</v>
      </c>
      <c r="D569" s="231" t="str">
        <f>VLOOKUP(Ruimtestaat[[#This Row],[Code]],Locaties[#All],5,FALSE)</f>
        <v>7573 CC</v>
      </c>
      <c r="E569" s="187" t="str">
        <f>VLOOKUP(Ruimtestaat[[#This Row],[Code]],Locaties[#All],6,FALSE)</f>
        <v>Oldenzaal</v>
      </c>
      <c r="F569" s="232"/>
      <c r="G569" s="187">
        <v>3</v>
      </c>
      <c r="H569" s="187"/>
      <c r="I569" s="232" t="s">
        <v>372</v>
      </c>
      <c r="J569" s="187">
        <v>6</v>
      </c>
      <c r="K569" s="187" t="str">
        <f>VLOOKUP(Ruimtestaat[[#This Row],[Ruimte code]],Ruimtegroepen[#All],2,FALSE)</f>
        <v>Gangen/hallen</v>
      </c>
      <c r="L569" s="231" t="s">
        <v>677</v>
      </c>
      <c r="M569" s="187" t="s">
        <v>1200</v>
      </c>
      <c r="N569" s="200">
        <v>90</v>
      </c>
      <c r="O569" s="200"/>
      <c r="P569" s="231" t="str">
        <f>VLOOKUP(Ruimtestaat[[#This Row],[Ruimte code]],Ruimtegroepen[#All],4,FALSE)</f>
        <v>V  (Verkeersruimte)</v>
      </c>
      <c r="Q569" s="201"/>
      <c r="R569" s="202">
        <v>42</v>
      </c>
      <c r="S569" s="202" t="s">
        <v>2</v>
      </c>
      <c r="T569" s="202">
        <f>IF(R569&gt;0,IF(RIGHT(Ruimtestaat[[#This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69" s="202">
        <f>IF(T569&gt;0,VLOOKUP($J569,Ruimtegroepen[],3,FALSE)*VLOOKUP($L569,Vloersoorten[],3,FALSE)*VLOOKUP($S569,Frequenties[],3,FALSE)*VLOOKUP($A569,Locaties[],3,FALSE),0)</f>
        <v>0</v>
      </c>
      <c r="V569" s="202">
        <f>Ruimtestaat[[#This Row],[Uitvoeringen werkdagen]]*Ruimtestaat[[#This Row],[Oppervlak (netto)]]</f>
        <v>18900</v>
      </c>
      <c r="W569" s="242">
        <f>IF(U569&gt;0,Ruimtestaat[[#This Row],[Prest. (m2 /jaar) werkdagen]]/Ruimtestaat[[#This Row],[Norm (m2/uur) werkdagen]],0)</f>
        <v>0</v>
      </c>
      <c r="X569" s="243">
        <f>Ruimtestaat[[#This Row],[uren / jaar werkdagen]]*Tariefsopbouw!$D$38</f>
        <v>0</v>
      </c>
      <c r="Y569" s="33"/>
      <c r="Z569" s="33">
        <f>IF(Ruimtestaat[[#This Row],[Frequentie weekend]]&gt;0,VALUE(LEFT(Y569,1))*R569,0)</f>
        <v>0</v>
      </c>
      <c r="AA569" s="33">
        <f>IF($Z569&gt;0,VLOOKUP($J569,Ruimtegroepen[],3,FALSE)*VLOOKUP($L569,Vloersoorten[],3,FALSE)*VLOOKUP($Y569,Frequenties[],3,FALSE)*VLOOKUP(#REF!,Locaties[],3,FALSE),0)</f>
        <v>0</v>
      </c>
      <c r="AB569" s="33"/>
      <c r="AC569" s="33"/>
      <c r="AD569" s="33">
        <f>Ruimtestaat[[#This Row],[uren / jaar weekend]]*Tariefsopbouw!$D$40</f>
        <v>0</v>
      </c>
      <c r="AE569" s="86">
        <f>Ruimtestaat[[#This Row],[Prest. (m2 /jaar) weekend]]+Ruimtestaat[[#This Row],[Prest. (m2 /jaar) werkdagen]]</f>
        <v>18900</v>
      </c>
      <c r="AF569" s="86">
        <f>Ruimtestaat[[#This Row],[uren / jaar weekend]]+Ruimtestaat[[#This Row],[uren / jaar werkdagen]]</f>
        <v>0</v>
      </c>
      <c r="AG569" s="87">
        <f>Ruimtestaat[[#This Row],[kosten / jaar weekend]]+Ruimtestaat[[#This Row],[kosten / jaar werkdagen]]</f>
        <v>0</v>
      </c>
    </row>
    <row r="570" spans="1:33" ht="15" customHeight="1">
      <c r="A570" s="187">
        <v>5</v>
      </c>
      <c r="B570" s="21" t="str">
        <f>VLOOKUP(Ruimtestaat[[#This Row],[Code]],Locaties[#All],2,FALSE)</f>
        <v>Potskamp</v>
      </c>
      <c r="C570" s="231" t="str">
        <f>VLOOKUP(Ruimtestaat[[#This Row],[Code]],Locaties[#All],4,FALSE)</f>
        <v>Potskampstraat 2</v>
      </c>
      <c r="D570" s="231" t="str">
        <f>VLOOKUP(Ruimtestaat[[#This Row],[Code]],Locaties[#All],5,FALSE)</f>
        <v>7573 CC</v>
      </c>
      <c r="E570" s="187" t="str">
        <f>VLOOKUP(Ruimtestaat[[#This Row],[Code]],Locaties[#All],6,FALSE)</f>
        <v>Oldenzaal</v>
      </c>
      <c r="F570" s="232"/>
      <c r="G570" s="187">
        <v>3</v>
      </c>
      <c r="H570" s="187"/>
      <c r="I570" s="232" t="s">
        <v>749</v>
      </c>
      <c r="J570" s="187">
        <v>10</v>
      </c>
      <c r="K570" s="187" t="str">
        <f>VLOOKUP(Ruimtestaat[[#This Row],[Ruimte code]],Ruimtegroepen[#All],2,FALSE)</f>
        <v>Trappenhuizen/lift</v>
      </c>
      <c r="L570" s="231" t="s">
        <v>677</v>
      </c>
      <c r="M570" s="187" t="s">
        <v>1200</v>
      </c>
      <c r="N570" s="200">
        <v>16</v>
      </c>
      <c r="O570" s="200"/>
      <c r="P570" s="231" t="str">
        <f>VLOOKUP(Ruimtestaat[[#This Row],[Ruimte code]],Ruimtegroepen[#All],4,FALSE)</f>
        <v>V  (Verkeersruimte)</v>
      </c>
      <c r="Q570" s="201"/>
      <c r="R570" s="202">
        <v>42</v>
      </c>
      <c r="S570" s="202" t="s">
        <v>2</v>
      </c>
      <c r="T570" s="202">
        <f>IF(R570&gt;0,IF(RIGHT(Ruimtestaat[[#This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70" s="202">
        <f>IF(T570&gt;0,VLOOKUP($J570,Ruimtegroepen[],3,FALSE)*VLOOKUP($L570,Vloersoorten[],3,FALSE)*VLOOKUP($S570,Frequenties[],3,FALSE)*VLOOKUP($A570,Locaties[],3,FALSE),0)</f>
        <v>0</v>
      </c>
      <c r="V570" s="202">
        <f>Ruimtestaat[[#This Row],[Uitvoeringen werkdagen]]*Ruimtestaat[[#This Row],[Oppervlak (netto)]]</f>
        <v>3360</v>
      </c>
      <c r="W570" s="242">
        <f>IF(U570&gt;0,Ruimtestaat[[#This Row],[Prest. (m2 /jaar) werkdagen]]/Ruimtestaat[[#This Row],[Norm (m2/uur) werkdagen]],0)</f>
        <v>0</v>
      </c>
      <c r="X570" s="243">
        <f>Ruimtestaat[[#This Row],[uren / jaar werkdagen]]*Tariefsopbouw!$D$38</f>
        <v>0</v>
      </c>
      <c r="Y570" s="33"/>
      <c r="Z570" s="33">
        <f>IF(Ruimtestaat[[#This Row],[Frequentie weekend]]&gt;0,VALUE(LEFT(Y570,1))*R570,0)</f>
        <v>0</v>
      </c>
      <c r="AA570" s="33">
        <f>IF($Z570&gt;0,VLOOKUP($J570,Ruimtegroepen[],3,FALSE)*VLOOKUP($L570,Vloersoorten[],3,FALSE)*VLOOKUP($Y570,Frequenties[],3,FALSE)*VLOOKUP(#REF!,Locaties[],3,FALSE),0)</f>
        <v>0</v>
      </c>
      <c r="AB570" s="33"/>
      <c r="AC570" s="33"/>
      <c r="AD570" s="33">
        <f>Ruimtestaat[[#This Row],[uren / jaar weekend]]*Tariefsopbouw!$D$40</f>
        <v>0</v>
      </c>
      <c r="AE570" s="86">
        <f>Ruimtestaat[[#This Row],[Prest. (m2 /jaar) weekend]]+Ruimtestaat[[#This Row],[Prest. (m2 /jaar) werkdagen]]</f>
        <v>3360</v>
      </c>
      <c r="AF570" s="86">
        <f>Ruimtestaat[[#This Row],[uren / jaar weekend]]+Ruimtestaat[[#This Row],[uren / jaar werkdagen]]</f>
        <v>0</v>
      </c>
      <c r="AG570" s="87">
        <f>Ruimtestaat[[#This Row],[kosten / jaar weekend]]+Ruimtestaat[[#This Row],[kosten / jaar werkdagen]]</f>
        <v>0</v>
      </c>
    </row>
    <row r="571" spans="1:33" ht="15" customHeight="1">
      <c r="A571" s="187">
        <v>5</v>
      </c>
      <c r="B571" s="21" t="str">
        <f>VLOOKUP(Ruimtestaat[[#This Row],[Code]],Locaties[#All],2,FALSE)</f>
        <v>Potskamp</v>
      </c>
      <c r="C571" s="231" t="str">
        <f>VLOOKUP(Ruimtestaat[[#This Row],[Code]],Locaties[#All],4,FALSE)</f>
        <v>Potskampstraat 2</v>
      </c>
      <c r="D571" s="231" t="str">
        <f>VLOOKUP(Ruimtestaat[[#This Row],[Code]],Locaties[#All],5,FALSE)</f>
        <v>7573 CC</v>
      </c>
      <c r="E571" s="187" t="str">
        <f>VLOOKUP(Ruimtestaat[[#This Row],[Code]],Locaties[#All],6,FALSE)</f>
        <v>Oldenzaal</v>
      </c>
      <c r="F571" s="232"/>
      <c r="G571" s="187">
        <v>3</v>
      </c>
      <c r="H571" s="187"/>
      <c r="I571" s="232" t="s">
        <v>749</v>
      </c>
      <c r="J571" s="187">
        <v>10</v>
      </c>
      <c r="K571" s="187" t="str">
        <f>VLOOKUP(Ruimtestaat[[#This Row],[Ruimte code]],Ruimtegroepen[#All],2,FALSE)</f>
        <v>Trappenhuizen/lift</v>
      </c>
      <c r="L571" s="231" t="s">
        <v>677</v>
      </c>
      <c r="M571" s="187" t="s">
        <v>1200</v>
      </c>
      <c r="N571" s="200">
        <v>11</v>
      </c>
      <c r="O571" s="200"/>
      <c r="P571" s="231" t="str">
        <f>VLOOKUP(Ruimtestaat[[#This Row],[Ruimte code]],Ruimtegroepen[#All],4,FALSE)</f>
        <v>V  (Verkeersruimte)</v>
      </c>
      <c r="Q571" s="201"/>
      <c r="R571" s="202">
        <v>42</v>
      </c>
      <c r="S571" s="202" t="s">
        <v>2</v>
      </c>
      <c r="T571" s="202">
        <f>IF(R571&gt;0,IF(RIGHT(Ruimtestaat[[#This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71" s="202">
        <f>IF(T571&gt;0,VLOOKUP($J571,Ruimtegroepen[],3,FALSE)*VLOOKUP($L571,Vloersoorten[],3,FALSE)*VLOOKUP($S571,Frequenties[],3,FALSE)*VLOOKUP($A571,Locaties[],3,FALSE),0)</f>
        <v>0</v>
      </c>
      <c r="V571" s="202">
        <f>Ruimtestaat[[#This Row],[Uitvoeringen werkdagen]]*Ruimtestaat[[#This Row],[Oppervlak (netto)]]</f>
        <v>2310</v>
      </c>
      <c r="W571" s="242">
        <f>IF(U571&gt;0,Ruimtestaat[[#This Row],[Prest. (m2 /jaar) werkdagen]]/Ruimtestaat[[#This Row],[Norm (m2/uur) werkdagen]],0)</f>
        <v>0</v>
      </c>
      <c r="X571" s="243">
        <f>Ruimtestaat[[#This Row],[uren / jaar werkdagen]]*Tariefsopbouw!$D$38</f>
        <v>0</v>
      </c>
      <c r="Y571" s="33"/>
      <c r="Z571" s="33">
        <f>IF(Ruimtestaat[[#This Row],[Frequentie weekend]]&gt;0,VALUE(LEFT(Y571,1))*R571,0)</f>
        <v>0</v>
      </c>
      <c r="AA571" s="33">
        <f>IF($Z571&gt;0,VLOOKUP($J571,Ruimtegroepen[],3,FALSE)*VLOOKUP($L571,Vloersoorten[],3,FALSE)*VLOOKUP($Y571,Frequenties[],3,FALSE)*VLOOKUP(#REF!,Locaties[],3,FALSE),0)</f>
        <v>0</v>
      </c>
      <c r="AB571" s="33"/>
      <c r="AC571" s="33"/>
      <c r="AD571" s="33">
        <f>Ruimtestaat[[#This Row],[uren / jaar weekend]]*Tariefsopbouw!$D$40</f>
        <v>0</v>
      </c>
      <c r="AE571" s="86">
        <f>Ruimtestaat[[#This Row],[Prest. (m2 /jaar) weekend]]+Ruimtestaat[[#This Row],[Prest. (m2 /jaar) werkdagen]]</f>
        <v>2310</v>
      </c>
      <c r="AF571" s="86">
        <f>Ruimtestaat[[#This Row],[uren / jaar weekend]]+Ruimtestaat[[#This Row],[uren / jaar werkdagen]]</f>
        <v>0</v>
      </c>
      <c r="AG571" s="87">
        <f>Ruimtestaat[[#This Row],[kosten / jaar weekend]]+Ruimtestaat[[#This Row],[kosten / jaar werkdagen]]</f>
        <v>0</v>
      </c>
    </row>
    <row r="572" spans="1:33" ht="15" customHeight="1">
      <c r="A572" s="187">
        <v>5</v>
      </c>
      <c r="B572" s="21" t="str">
        <f>VLOOKUP(Ruimtestaat[[#This Row],[Code]],Locaties[#All],2,FALSE)</f>
        <v>Potskamp</v>
      </c>
      <c r="C572" s="231" t="str">
        <f>VLOOKUP(Ruimtestaat[[#This Row],[Code]],Locaties[#All],4,FALSE)</f>
        <v>Potskampstraat 2</v>
      </c>
      <c r="D572" s="231" t="str">
        <f>VLOOKUP(Ruimtestaat[[#This Row],[Code]],Locaties[#All],5,FALSE)</f>
        <v>7573 CC</v>
      </c>
      <c r="E572" s="187" t="str">
        <f>VLOOKUP(Ruimtestaat[[#This Row],[Code]],Locaties[#All],6,FALSE)</f>
        <v>Oldenzaal</v>
      </c>
      <c r="F572" s="232"/>
      <c r="G572" s="187" t="s">
        <v>679</v>
      </c>
      <c r="H572" s="187">
        <v>83</v>
      </c>
      <c r="I572" s="232" t="s">
        <v>765</v>
      </c>
      <c r="J572" s="187">
        <v>19</v>
      </c>
      <c r="K572" s="187" t="str">
        <f>VLOOKUP(Ruimtestaat[[#This Row],[Ruimte code]],Ruimtegroepen[#All],2,FALSE)</f>
        <v>Kleedruimtes</v>
      </c>
      <c r="L572" s="202" t="s">
        <v>108</v>
      </c>
      <c r="M572" s="187" t="s">
        <v>1201</v>
      </c>
      <c r="N572" s="200">
        <v>24</v>
      </c>
      <c r="O572" s="200"/>
      <c r="P572" s="231" t="str">
        <f>VLOOKUP(Ruimtestaat[[#This Row],[Ruimte code]],Ruimtegroepen[#All],4,FALSE)</f>
        <v>V  (Verkeersruimte)</v>
      </c>
      <c r="Q572" s="201"/>
      <c r="R572" s="202">
        <v>42</v>
      </c>
      <c r="S572" s="202" t="s">
        <v>2</v>
      </c>
      <c r="T572" s="202">
        <f>IF(R572&gt;0,IF(RIGHT(Ruimtestaat[[#This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72" s="202">
        <f>IF(T572&gt;0,VLOOKUP($J572,Ruimtegroepen[],3,FALSE)*VLOOKUP($L572,Vloersoorten[],3,FALSE)*VLOOKUP($S572,Frequenties[],3,FALSE)*VLOOKUP($A572,Locaties[],3,FALSE),0)</f>
        <v>0</v>
      </c>
      <c r="V572" s="202">
        <f>Ruimtestaat[[#This Row],[Uitvoeringen werkdagen]]*Ruimtestaat[[#This Row],[Oppervlak (netto)]]</f>
        <v>5040</v>
      </c>
      <c r="W572" s="242">
        <f>IF(U572&gt;0,Ruimtestaat[[#This Row],[Prest. (m2 /jaar) werkdagen]]/Ruimtestaat[[#This Row],[Norm (m2/uur) werkdagen]],0)</f>
        <v>0</v>
      </c>
      <c r="X572" s="243">
        <f>Ruimtestaat[[#This Row],[uren / jaar werkdagen]]*Tariefsopbouw!$D$38</f>
        <v>0</v>
      </c>
      <c r="Y572" s="33"/>
      <c r="Z572" s="33">
        <f>IF(Ruimtestaat[[#This Row],[Frequentie weekend]]&gt;0,VALUE(LEFT(Y572,1))*R572,0)</f>
        <v>0</v>
      </c>
      <c r="AA572" s="33">
        <f>IF($Z572&gt;0,VLOOKUP($J572,Ruimtegroepen[],3,FALSE)*VLOOKUP($L572,Vloersoorten[],3,FALSE)*VLOOKUP($Y572,Frequenties[],3,FALSE)*VLOOKUP(#REF!,Locaties[],3,FALSE),0)</f>
        <v>0</v>
      </c>
      <c r="AB572" s="33"/>
      <c r="AC572" s="33"/>
      <c r="AD572" s="33">
        <f>Ruimtestaat[[#This Row],[uren / jaar weekend]]*Tariefsopbouw!$D$40</f>
        <v>0</v>
      </c>
      <c r="AE572" s="86">
        <f>Ruimtestaat[[#This Row],[Prest. (m2 /jaar) weekend]]+Ruimtestaat[[#This Row],[Prest. (m2 /jaar) werkdagen]]</f>
        <v>5040</v>
      </c>
      <c r="AF572" s="86">
        <f>Ruimtestaat[[#This Row],[uren / jaar weekend]]+Ruimtestaat[[#This Row],[uren / jaar werkdagen]]</f>
        <v>0</v>
      </c>
      <c r="AG572" s="87">
        <f>Ruimtestaat[[#This Row],[kosten / jaar weekend]]+Ruimtestaat[[#This Row],[kosten / jaar werkdagen]]</f>
        <v>0</v>
      </c>
    </row>
    <row r="573" spans="1:33" ht="15" customHeight="1">
      <c r="A573" s="187">
        <v>5</v>
      </c>
      <c r="B573" s="21" t="str">
        <f>VLOOKUP(Ruimtestaat[[#This Row],[Code]],Locaties[#All],2,FALSE)</f>
        <v>Potskamp</v>
      </c>
      <c r="C573" s="231" t="str">
        <f>VLOOKUP(Ruimtestaat[[#This Row],[Code]],Locaties[#All],4,FALSE)</f>
        <v>Potskampstraat 2</v>
      </c>
      <c r="D573" s="231" t="str">
        <f>VLOOKUP(Ruimtestaat[[#This Row],[Code]],Locaties[#All],5,FALSE)</f>
        <v>7573 CC</v>
      </c>
      <c r="E573" s="187" t="str">
        <f>VLOOKUP(Ruimtestaat[[#This Row],[Code]],Locaties[#All],6,FALSE)</f>
        <v>Oldenzaal</v>
      </c>
      <c r="F573" s="232"/>
      <c r="G573" s="187" t="s">
        <v>679</v>
      </c>
      <c r="H573" s="187" t="s">
        <v>766</v>
      </c>
      <c r="I573" s="232" t="s">
        <v>767</v>
      </c>
      <c r="J573" s="187">
        <v>19</v>
      </c>
      <c r="K573" s="187" t="str">
        <f>VLOOKUP(Ruimtestaat[[#This Row],[Ruimte code]],Ruimtegroepen[#All],2,FALSE)</f>
        <v>Kleedruimtes</v>
      </c>
      <c r="L573" s="202" t="s">
        <v>108</v>
      </c>
      <c r="M573" s="187" t="s">
        <v>1201</v>
      </c>
      <c r="N573" s="200">
        <v>14</v>
      </c>
      <c r="O573" s="200"/>
      <c r="P573" s="231" t="str">
        <f>VLOOKUP(Ruimtestaat[[#This Row],[Ruimte code]],Ruimtegroepen[#All],4,FALSE)</f>
        <v>V  (Verkeersruimte)</v>
      </c>
      <c r="Q573" s="201"/>
      <c r="R573" s="202">
        <v>42</v>
      </c>
      <c r="S573" s="202" t="s">
        <v>2</v>
      </c>
      <c r="T573" s="202">
        <f>IF(R573&gt;0,IF(RIGHT(Ruimtestaat[[#This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73" s="202">
        <f>IF(T573&gt;0,VLOOKUP($J573,Ruimtegroepen[],3,FALSE)*VLOOKUP($L573,Vloersoorten[],3,FALSE)*VLOOKUP($S573,Frequenties[],3,FALSE)*VLOOKUP($A573,Locaties[],3,FALSE),0)</f>
        <v>0</v>
      </c>
      <c r="V573" s="202">
        <f>Ruimtestaat[[#This Row],[Uitvoeringen werkdagen]]*Ruimtestaat[[#This Row],[Oppervlak (netto)]]</f>
        <v>2940</v>
      </c>
      <c r="W573" s="242">
        <f>IF(U573&gt;0,Ruimtestaat[[#This Row],[Prest. (m2 /jaar) werkdagen]]/Ruimtestaat[[#This Row],[Norm (m2/uur) werkdagen]],0)</f>
        <v>0</v>
      </c>
      <c r="X573" s="243">
        <f>Ruimtestaat[[#This Row],[uren / jaar werkdagen]]*Tariefsopbouw!$D$38</f>
        <v>0</v>
      </c>
      <c r="Y573" s="33"/>
      <c r="Z573" s="33">
        <f>IF(Ruimtestaat[[#This Row],[Frequentie weekend]]&gt;0,VALUE(LEFT(Y573,1))*R573,0)</f>
        <v>0</v>
      </c>
      <c r="AA573" s="33">
        <f>IF($Z573&gt;0,VLOOKUP($J573,Ruimtegroepen[],3,FALSE)*VLOOKUP($L573,Vloersoorten[],3,FALSE)*VLOOKUP($Y573,Frequenties[],3,FALSE)*VLOOKUP(#REF!,Locaties[],3,FALSE),0)</f>
        <v>0</v>
      </c>
      <c r="AB573" s="33"/>
      <c r="AC573" s="33"/>
      <c r="AD573" s="33">
        <f>Ruimtestaat[[#This Row],[uren / jaar weekend]]*Tariefsopbouw!$D$40</f>
        <v>0</v>
      </c>
      <c r="AE573" s="86">
        <f>Ruimtestaat[[#This Row],[Prest. (m2 /jaar) weekend]]+Ruimtestaat[[#This Row],[Prest. (m2 /jaar) werkdagen]]</f>
        <v>2940</v>
      </c>
      <c r="AF573" s="86">
        <f>Ruimtestaat[[#This Row],[uren / jaar weekend]]+Ruimtestaat[[#This Row],[uren / jaar werkdagen]]</f>
        <v>0</v>
      </c>
      <c r="AG573" s="87">
        <f>Ruimtestaat[[#This Row],[kosten / jaar weekend]]+Ruimtestaat[[#This Row],[kosten / jaar werkdagen]]</f>
        <v>0</v>
      </c>
    </row>
    <row r="574" spans="1:33" ht="15" customHeight="1">
      <c r="A574" s="187">
        <v>5</v>
      </c>
      <c r="B574" s="21" t="str">
        <f>VLOOKUP(Ruimtestaat[[#This Row],[Code]],Locaties[#All],2,FALSE)</f>
        <v>Potskamp</v>
      </c>
      <c r="C574" s="231" t="str">
        <f>VLOOKUP(Ruimtestaat[[#This Row],[Code]],Locaties[#All],4,FALSE)</f>
        <v>Potskampstraat 2</v>
      </c>
      <c r="D574" s="231" t="str">
        <f>VLOOKUP(Ruimtestaat[[#This Row],[Code]],Locaties[#All],5,FALSE)</f>
        <v>7573 CC</v>
      </c>
      <c r="E574" s="187" t="str">
        <f>VLOOKUP(Ruimtestaat[[#This Row],[Code]],Locaties[#All],6,FALSE)</f>
        <v>Oldenzaal</v>
      </c>
      <c r="F574" s="232"/>
      <c r="G574" s="187" t="s">
        <v>679</v>
      </c>
      <c r="H574" s="187">
        <v>84</v>
      </c>
      <c r="I574" s="232" t="s">
        <v>765</v>
      </c>
      <c r="J574" s="187">
        <v>19</v>
      </c>
      <c r="K574" s="187" t="str">
        <f>VLOOKUP(Ruimtestaat[[#This Row],[Ruimte code]],Ruimtegroepen[#All],2,FALSE)</f>
        <v>Kleedruimtes</v>
      </c>
      <c r="L574" s="202" t="s">
        <v>108</v>
      </c>
      <c r="M574" s="187" t="s">
        <v>1201</v>
      </c>
      <c r="N574" s="200">
        <v>21</v>
      </c>
      <c r="O574" s="200"/>
      <c r="P574" s="231" t="str">
        <f>VLOOKUP(Ruimtestaat[[#This Row],[Ruimte code]],Ruimtegroepen[#All],4,FALSE)</f>
        <v>V  (Verkeersruimte)</v>
      </c>
      <c r="Q574" s="201"/>
      <c r="R574" s="202">
        <v>42</v>
      </c>
      <c r="S574" s="202" t="s">
        <v>2</v>
      </c>
      <c r="T574" s="202">
        <f>IF(R574&gt;0,IF(RIGHT(Ruimtestaat[[#This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74" s="202">
        <f>IF(T574&gt;0,VLOOKUP($J574,Ruimtegroepen[],3,FALSE)*VLOOKUP($L574,Vloersoorten[],3,FALSE)*VLOOKUP($S574,Frequenties[],3,FALSE)*VLOOKUP($A574,Locaties[],3,FALSE),0)</f>
        <v>0</v>
      </c>
      <c r="V574" s="202">
        <f>Ruimtestaat[[#This Row],[Uitvoeringen werkdagen]]*Ruimtestaat[[#This Row],[Oppervlak (netto)]]</f>
        <v>4410</v>
      </c>
      <c r="W574" s="242">
        <f>IF(U574&gt;0,Ruimtestaat[[#This Row],[Prest. (m2 /jaar) werkdagen]]/Ruimtestaat[[#This Row],[Norm (m2/uur) werkdagen]],0)</f>
        <v>0</v>
      </c>
      <c r="X574" s="243">
        <f>Ruimtestaat[[#This Row],[uren / jaar werkdagen]]*Tariefsopbouw!$D$38</f>
        <v>0</v>
      </c>
      <c r="Y574" s="33"/>
      <c r="Z574" s="33">
        <f>IF(Ruimtestaat[[#This Row],[Frequentie weekend]]&gt;0,VALUE(LEFT(Y574,1))*R574,0)</f>
        <v>0</v>
      </c>
      <c r="AA574" s="33">
        <f>IF($Z574&gt;0,VLOOKUP($J574,Ruimtegroepen[],3,FALSE)*VLOOKUP($L574,Vloersoorten[],3,FALSE)*VLOOKUP($Y574,Frequenties[],3,FALSE)*VLOOKUP(#REF!,Locaties[],3,FALSE),0)</f>
        <v>0</v>
      </c>
      <c r="AB574" s="33"/>
      <c r="AC574" s="33"/>
      <c r="AD574" s="33">
        <f>Ruimtestaat[[#This Row],[uren / jaar weekend]]*Tariefsopbouw!$D$40</f>
        <v>0</v>
      </c>
      <c r="AE574" s="86">
        <f>Ruimtestaat[[#This Row],[Prest. (m2 /jaar) weekend]]+Ruimtestaat[[#This Row],[Prest. (m2 /jaar) werkdagen]]</f>
        <v>4410</v>
      </c>
      <c r="AF574" s="86">
        <f>Ruimtestaat[[#This Row],[uren / jaar weekend]]+Ruimtestaat[[#This Row],[uren / jaar werkdagen]]</f>
        <v>0</v>
      </c>
      <c r="AG574" s="87">
        <f>Ruimtestaat[[#This Row],[kosten / jaar weekend]]+Ruimtestaat[[#This Row],[kosten / jaar werkdagen]]</f>
        <v>0</v>
      </c>
    </row>
    <row r="575" spans="1:33" ht="15" customHeight="1">
      <c r="A575" s="187">
        <v>5</v>
      </c>
      <c r="B575" s="21" t="str">
        <f>VLOOKUP(Ruimtestaat[[#This Row],[Code]],Locaties[#All],2,FALSE)</f>
        <v>Potskamp</v>
      </c>
      <c r="C575" s="231" t="str">
        <f>VLOOKUP(Ruimtestaat[[#This Row],[Code]],Locaties[#All],4,FALSE)</f>
        <v>Potskampstraat 2</v>
      </c>
      <c r="D575" s="231" t="str">
        <f>VLOOKUP(Ruimtestaat[[#This Row],[Code]],Locaties[#All],5,FALSE)</f>
        <v>7573 CC</v>
      </c>
      <c r="E575" s="187" t="str">
        <f>VLOOKUP(Ruimtestaat[[#This Row],[Code]],Locaties[#All],6,FALSE)</f>
        <v>Oldenzaal</v>
      </c>
      <c r="F575" s="232"/>
      <c r="G575" s="187" t="s">
        <v>679</v>
      </c>
      <c r="H575" s="187" t="s">
        <v>768</v>
      </c>
      <c r="I575" s="232" t="s">
        <v>767</v>
      </c>
      <c r="J575" s="187">
        <v>19</v>
      </c>
      <c r="K575" s="187" t="str">
        <f>VLOOKUP(Ruimtestaat[[#This Row],[Ruimte code]],Ruimtegroepen[#All],2,FALSE)</f>
        <v>Kleedruimtes</v>
      </c>
      <c r="L575" s="202" t="s">
        <v>108</v>
      </c>
      <c r="M575" s="187" t="s">
        <v>1201</v>
      </c>
      <c r="N575" s="200">
        <v>14</v>
      </c>
      <c r="O575" s="200"/>
      <c r="P575" s="231" t="str">
        <f>VLOOKUP(Ruimtestaat[[#This Row],[Ruimte code]],Ruimtegroepen[#All],4,FALSE)</f>
        <v>V  (Verkeersruimte)</v>
      </c>
      <c r="Q575" s="201"/>
      <c r="R575" s="202">
        <v>42</v>
      </c>
      <c r="S575" s="202" t="s">
        <v>2</v>
      </c>
      <c r="T575" s="202">
        <f>IF(R575&gt;0,IF(RIGHT(Ruimtestaat[[#This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75" s="202">
        <f>IF(T575&gt;0,VLOOKUP($J575,Ruimtegroepen[],3,FALSE)*VLOOKUP($L575,Vloersoorten[],3,FALSE)*VLOOKUP($S575,Frequenties[],3,FALSE)*VLOOKUP($A575,Locaties[],3,FALSE),0)</f>
        <v>0</v>
      </c>
      <c r="V575" s="202">
        <f>Ruimtestaat[[#This Row],[Uitvoeringen werkdagen]]*Ruimtestaat[[#This Row],[Oppervlak (netto)]]</f>
        <v>2940</v>
      </c>
      <c r="W575" s="242">
        <f>IF(U575&gt;0,Ruimtestaat[[#This Row],[Prest. (m2 /jaar) werkdagen]]/Ruimtestaat[[#This Row],[Norm (m2/uur) werkdagen]],0)</f>
        <v>0</v>
      </c>
      <c r="X575" s="243">
        <f>Ruimtestaat[[#This Row],[uren / jaar werkdagen]]*Tariefsopbouw!$D$38</f>
        <v>0</v>
      </c>
      <c r="Y575" s="33"/>
      <c r="Z575" s="33">
        <f>IF(Ruimtestaat[[#This Row],[Frequentie weekend]]&gt;0,VALUE(LEFT(Y575,1))*R575,0)</f>
        <v>0</v>
      </c>
      <c r="AA575" s="33">
        <f>IF($Z575&gt;0,VLOOKUP($J575,Ruimtegroepen[],3,FALSE)*VLOOKUP($L575,Vloersoorten[],3,FALSE)*VLOOKUP($Y575,Frequenties[],3,FALSE)*VLOOKUP(#REF!,Locaties[],3,FALSE),0)</f>
        <v>0</v>
      </c>
      <c r="AB575" s="33"/>
      <c r="AC575" s="33"/>
      <c r="AD575" s="33">
        <f>Ruimtestaat[[#This Row],[uren / jaar weekend]]*Tariefsopbouw!$D$40</f>
        <v>0</v>
      </c>
      <c r="AE575" s="86">
        <f>Ruimtestaat[[#This Row],[Prest. (m2 /jaar) weekend]]+Ruimtestaat[[#This Row],[Prest. (m2 /jaar) werkdagen]]</f>
        <v>2940</v>
      </c>
      <c r="AF575" s="86">
        <f>Ruimtestaat[[#This Row],[uren / jaar weekend]]+Ruimtestaat[[#This Row],[uren / jaar werkdagen]]</f>
        <v>0</v>
      </c>
      <c r="AG575" s="87">
        <f>Ruimtestaat[[#This Row],[kosten / jaar weekend]]+Ruimtestaat[[#This Row],[kosten / jaar werkdagen]]</f>
        <v>0</v>
      </c>
    </row>
    <row r="576" spans="1:33" ht="15" customHeight="1">
      <c r="A576" s="187">
        <v>5</v>
      </c>
      <c r="B576" s="21" t="str">
        <f>VLOOKUP(Ruimtestaat[[#This Row],[Code]],Locaties[#All],2,FALSE)</f>
        <v>Potskamp</v>
      </c>
      <c r="C576" s="231" t="str">
        <f>VLOOKUP(Ruimtestaat[[#This Row],[Code]],Locaties[#All],4,FALSE)</f>
        <v>Potskampstraat 2</v>
      </c>
      <c r="D576" s="231" t="str">
        <f>VLOOKUP(Ruimtestaat[[#This Row],[Code]],Locaties[#All],5,FALSE)</f>
        <v>7573 CC</v>
      </c>
      <c r="E576" s="187" t="str">
        <f>VLOOKUP(Ruimtestaat[[#This Row],[Code]],Locaties[#All],6,FALSE)</f>
        <v>Oldenzaal</v>
      </c>
      <c r="F576" s="232"/>
      <c r="G576" s="187" t="s">
        <v>679</v>
      </c>
      <c r="H576" s="187">
        <v>85</v>
      </c>
      <c r="I576" s="232" t="s">
        <v>765</v>
      </c>
      <c r="J576" s="187">
        <v>19</v>
      </c>
      <c r="K576" s="187" t="str">
        <f>VLOOKUP(Ruimtestaat[[#This Row],[Ruimte code]],Ruimtegroepen[#All],2,FALSE)</f>
        <v>Kleedruimtes</v>
      </c>
      <c r="L576" s="202" t="s">
        <v>108</v>
      </c>
      <c r="M576" s="187" t="s">
        <v>1201</v>
      </c>
      <c r="N576" s="200">
        <v>21</v>
      </c>
      <c r="O576" s="200"/>
      <c r="P576" s="231" t="str">
        <f>VLOOKUP(Ruimtestaat[[#This Row],[Ruimte code]],Ruimtegroepen[#All],4,FALSE)</f>
        <v>V  (Verkeersruimte)</v>
      </c>
      <c r="Q576" s="201"/>
      <c r="R576" s="202">
        <v>42</v>
      </c>
      <c r="S576" s="202" t="s">
        <v>2</v>
      </c>
      <c r="T576" s="202">
        <f>IF(R576&gt;0,IF(RIGHT(Ruimtestaat[[#This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76" s="202">
        <f>IF(T576&gt;0,VLOOKUP($J576,Ruimtegroepen[],3,FALSE)*VLOOKUP($L576,Vloersoorten[],3,FALSE)*VLOOKUP($S576,Frequenties[],3,FALSE)*VLOOKUP($A576,Locaties[],3,FALSE),0)</f>
        <v>0</v>
      </c>
      <c r="V576" s="202">
        <f>Ruimtestaat[[#This Row],[Uitvoeringen werkdagen]]*Ruimtestaat[[#This Row],[Oppervlak (netto)]]</f>
        <v>4410</v>
      </c>
      <c r="W576" s="242">
        <f>IF(U576&gt;0,Ruimtestaat[[#This Row],[Prest. (m2 /jaar) werkdagen]]/Ruimtestaat[[#This Row],[Norm (m2/uur) werkdagen]],0)</f>
        <v>0</v>
      </c>
      <c r="X576" s="243">
        <f>Ruimtestaat[[#This Row],[uren / jaar werkdagen]]*Tariefsopbouw!$D$38</f>
        <v>0</v>
      </c>
      <c r="Y576" s="33"/>
      <c r="Z576" s="33">
        <f>IF(Ruimtestaat[[#This Row],[Frequentie weekend]]&gt;0,VALUE(LEFT(Y576,1))*R576,0)</f>
        <v>0</v>
      </c>
      <c r="AA576" s="33">
        <f>IF($Z576&gt;0,VLOOKUP($J576,Ruimtegroepen[],3,FALSE)*VLOOKUP($L576,Vloersoorten[],3,FALSE)*VLOOKUP($Y576,Frequenties[],3,FALSE)*VLOOKUP(#REF!,Locaties[],3,FALSE),0)</f>
        <v>0</v>
      </c>
      <c r="AB576" s="33"/>
      <c r="AC576" s="33"/>
      <c r="AD576" s="33">
        <f>Ruimtestaat[[#This Row],[uren / jaar weekend]]*Tariefsopbouw!$D$40</f>
        <v>0</v>
      </c>
      <c r="AE576" s="86">
        <f>Ruimtestaat[[#This Row],[Prest. (m2 /jaar) weekend]]+Ruimtestaat[[#This Row],[Prest. (m2 /jaar) werkdagen]]</f>
        <v>4410</v>
      </c>
      <c r="AF576" s="86">
        <f>Ruimtestaat[[#This Row],[uren / jaar weekend]]+Ruimtestaat[[#This Row],[uren / jaar werkdagen]]</f>
        <v>0</v>
      </c>
      <c r="AG576" s="87">
        <f>Ruimtestaat[[#This Row],[kosten / jaar weekend]]+Ruimtestaat[[#This Row],[kosten / jaar werkdagen]]</f>
        <v>0</v>
      </c>
    </row>
    <row r="577" spans="1:33" ht="15" customHeight="1">
      <c r="A577" s="187">
        <v>5</v>
      </c>
      <c r="B577" s="21" t="str">
        <f>VLOOKUP(Ruimtestaat[[#This Row],[Code]],Locaties[#All],2,FALSE)</f>
        <v>Potskamp</v>
      </c>
      <c r="C577" s="231" t="str">
        <f>VLOOKUP(Ruimtestaat[[#This Row],[Code]],Locaties[#All],4,FALSE)</f>
        <v>Potskampstraat 2</v>
      </c>
      <c r="D577" s="231" t="str">
        <f>VLOOKUP(Ruimtestaat[[#This Row],[Code]],Locaties[#All],5,FALSE)</f>
        <v>7573 CC</v>
      </c>
      <c r="E577" s="187" t="str">
        <f>VLOOKUP(Ruimtestaat[[#This Row],[Code]],Locaties[#All],6,FALSE)</f>
        <v>Oldenzaal</v>
      </c>
      <c r="F577" s="232"/>
      <c r="G577" s="187" t="s">
        <v>679</v>
      </c>
      <c r="H577" s="187" t="s">
        <v>769</v>
      </c>
      <c r="I577" s="232" t="s">
        <v>767</v>
      </c>
      <c r="J577" s="187">
        <v>19</v>
      </c>
      <c r="K577" s="187" t="str">
        <f>VLOOKUP(Ruimtestaat[[#This Row],[Ruimte code]],Ruimtegroepen[#All],2,FALSE)</f>
        <v>Kleedruimtes</v>
      </c>
      <c r="L577" s="202" t="s">
        <v>108</v>
      </c>
      <c r="M577" s="187" t="s">
        <v>1201</v>
      </c>
      <c r="N577" s="200">
        <v>14</v>
      </c>
      <c r="O577" s="200"/>
      <c r="P577" s="231" t="str">
        <f>VLOOKUP(Ruimtestaat[[#This Row],[Ruimte code]],Ruimtegroepen[#All],4,FALSE)</f>
        <v>V  (Verkeersruimte)</v>
      </c>
      <c r="Q577" s="201"/>
      <c r="R577" s="202">
        <v>42</v>
      </c>
      <c r="S577" s="202" t="s">
        <v>2</v>
      </c>
      <c r="T577" s="202">
        <f>IF(R577&gt;0,IF(RIGHT(Ruimtestaat[[#This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77" s="202">
        <f>IF(T577&gt;0,VLOOKUP($J577,Ruimtegroepen[],3,FALSE)*VLOOKUP($L577,Vloersoorten[],3,FALSE)*VLOOKUP($S577,Frequenties[],3,FALSE)*VLOOKUP($A577,Locaties[],3,FALSE),0)</f>
        <v>0</v>
      </c>
      <c r="V577" s="202">
        <f>Ruimtestaat[[#This Row],[Uitvoeringen werkdagen]]*Ruimtestaat[[#This Row],[Oppervlak (netto)]]</f>
        <v>2940</v>
      </c>
      <c r="W577" s="242">
        <f>IF(U577&gt;0,Ruimtestaat[[#This Row],[Prest. (m2 /jaar) werkdagen]]/Ruimtestaat[[#This Row],[Norm (m2/uur) werkdagen]],0)</f>
        <v>0</v>
      </c>
      <c r="X577" s="243">
        <f>Ruimtestaat[[#This Row],[uren / jaar werkdagen]]*Tariefsopbouw!$D$38</f>
        <v>0</v>
      </c>
      <c r="Y577" s="33"/>
      <c r="Z577" s="33">
        <f>IF(Ruimtestaat[[#This Row],[Frequentie weekend]]&gt;0,VALUE(LEFT(Y577,1))*R577,0)</f>
        <v>0</v>
      </c>
      <c r="AA577" s="33">
        <f>IF($Z577&gt;0,VLOOKUP($J577,Ruimtegroepen[],3,FALSE)*VLOOKUP($L577,Vloersoorten[],3,FALSE)*VLOOKUP($Y577,Frequenties[],3,FALSE)*VLOOKUP(#REF!,Locaties[],3,FALSE),0)</f>
        <v>0</v>
      </c>
      <c r="AB577" s="33"/>
      <c r="AC577" s="33"/>
      <c r="AD577" s="33">
        <f>Ruimtestaat[[#This Row],[uren / jaar weekend]]*Tariefsopbouw!$D$40</f>
        <v>0</v>
      </c>
      <c r="AE577" s="86">
        <f>Ruimtestaat[[#This Row],[Prest. (m2 /jaar) weekend]]+Ruimtestaat[[#This Row],[Prest. (m2 /jaar) werkdagen]]</f>
        <v>2940</v>
      </c>
      <c r="AF577" s="86">
        <f>Ruimtestaat[[#This Row],[uren / jaar weekend]]+Ruimtestaat[[#This Row],[uren / jaar werkdagen]]</f>
        <v>0</v>
      </c>
      <c r="AG577" s="87">
        <f>Ruimtestaat[[#This Row],[kosten / jaar weekend]]+Ruimtestaat[[#This Row],[kosten / jaar werkdagen]]</f>
        <v>0</v>
      </c>
    </row>
    <row r="578" spans="1:33" ht="15" customHeight="1">
      <c r="A578" s="187">
        <v>5</v>
      </c>
      <c r="B578" s="21" t="str">
        <f>VLOOKUP(Ruimtestaat[[#This Row],[Code]],Locaties[#All],2,FALSE)</f>
        <v>Potskamp</v>
      </c>
      <c r="C578" s="231" t="str">
        <f>VLOOKUP(Ruimtestaat[[#This Row],[Code]],Locaties[#All],4,FALSE)</f>
        <v>Potskampstraat 2</v>
      </c>
      <c r="D578" s="231" t="str">
        <f>VLOOKUP(Ruimtestaat[[#This Row],[Code]],Locaties[#All],5,FALSE)</f>
        <v>7573 CC</v>
      </c>
      <c r="E578" s="187" t="str">
        <f>VLOOKUP(Ruimtestaat[[#This Row],[Code]],Locaties[#All],6,FALSE)</f>
        <v>Oldenzaal</v>
      </c>
      <c r="F578" s="232"/>
      <c r="G578" s="187" t="s">
        <v>679</v>
      </c>
      <c r="H578" s="187">
        <v>86</v>
      </c>
      <c r="I578" s="232" t="s">
        <v>765</v>
      </c>
      <c r="J578" s="187">
        <v>19</v>
      </c>
      <c r="K578" s="187" t="str">
        <f>VLOOKUP(Ruimtestaat[[#This Row],[Ruimte code]],Ruimtegroepen[#All],2,FALSE)</f>
        <v>Kleedruimtes</v>
      </c>
      <c r="L578" s="202" t="s">
        <v>108</v>
      </c>
      <c r="M578" s="187" t="s">
        <v>1201</v>
      </c>
      <c r="N578" s="200">
        <v>24</v>
      </c>
      <c r="O578" s="200"/>
      <c r="P578" s="231" t="str">
        <f>VLOOKUP(Ruimtestaat[[#This Row],[Ruimte code]],Ruimtegroepen[#All],4,FALSE)</f>
        <v>V  (Verkeersruimte)</v>
      </c>
      <c r="Q578" s="201"/>
      <c r="R578" s="202">
        <v>42</v>
      </c>
      <c r="S578" s="202" t="s">
        <v>2</v>
      </c>
      <c r="T578" s="202">
        <f>IF(R578&gt;0,IF(RIGHT(Ruimtestaat[[#This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78" s="202">
        <f>IF(T578&gt;0,VLOOKUP($J578,Ruimtegroepen[],3,FALSE)*VLOOKUP($L578,Vloersoorten[],3,FALSE)*VLOOKUP($S578,Frequenties[],3,FALSE)*VLOOKUP($A578,Locaties[],3,FALSE),0)</f>
        <v>0</v>
      </c>
      <c r="V578" s="202">
        <f>Ruimtestaat[[#This Row],[Uitvoeringen werkdagen]]*Ruimtestaat[[#This Row],[Oppervlak (netto)]]</f>
        <v>5040</v>
      </c>
      <c r="W578" s="242">
        <f>IF(U578&gt;0,Ruimtestaat[[#This Row],[Prest. (m2 /jaar) werkdagen]]/Ruimtestaat[[#This Row],[Norm (m2/uur) werkdagen]],0)</f>
        <v>0</v>
      </c>
      <c r="X578" s="243">
        <f>Ruimtestaat[[#This Row],[uren / jaar werkdagen]]*Tariefsopbouw!$D$38</f>
        <v>0</v>
      </c>
      <c r="Y578" s="33"/>
      <c r="Z578" s="33">
        <f>IF(Ruimtestaat[[#This Row],[Frequentie weekend]]&gt;0,VALUE(LEFT(Y578,1))*R578,0)</f>
        <v>0</v>
      </c>
      <c r="AA578" s="33">
        <f>IF($Z578&gt;0,VLOOKUP($J578,Ruimtegroepen[],3,FALSE)*VLOOKUP($L578,Vloersoorten[],3,FALSE)*VLOOKUP($Y578,Frequenties[],3,FALSE)*VLOOKUP(#REF!,Locaties[],3,FALSE),0)</f>
        <v>0</v>
      </c>
      <c r="AB578" s="33"/>
      <c r="AC578" s="33"/>
      <c r="AD578" s="33">
        <f>Ruimtestaat[[#This Row],[uren / jaar weekend]]*Tariefsopbouw!$D$40</f>
        <v>0</v>
      </c>
      <c r="AE578" s="86">
        <f>Ruimtestaat[[#This Row],[Prest. (m2 /jaar) weekend]]+Ruimtestaat[[#This Row],[Prest. (m2 /jaar) werkdagen]]</f>
        <v>5040</v>
      </c>
      <c r="AF578" s="86">
        <f>Ruimtestaat[[#This Row],[uren / jaar weekend]]+Ruimtestaat[[#This Row],[uren / jaar werkdagen]]</f>
        <v>0</v>
      </c>
      <c r="AG578" s="87">
        <f>Ruimtestaat[[#This Row],[kosten / jaar weekend]]+Ruimtestaat[[#This Row],[kosten / jaar werkdagen]]</f>
        <v>0</v>
      </c>
    </row>
    <row r="579" spans="1:33" ht="15" customHeight="1">
      <c r="A579" s="187">
        <v>5</v>
      </c>
      <c r="B579" s="21" t="str">
        <f>VLOOKUP(Ruimtestaat[[#This Row],[Code]],Locaties[#All],2,FALSE)</f>
        <v>Potskamp</v>
      </c>
      <c r="C579" s="231" t="str">
        <f>VLOOKUP(Ruimtestaat[[#This Row],[Code]],Locaties[#All],4,FALSE)</f>
        <v>Potskampstraat 2</v>
      </c>
      <c r="D579" s="231" t="str">
        <f>VLOOKUP(Ruimtestaat[[#This Row],[Code]],Locaties[#All],5,FALSE)</f>
        <v>7573 CC</v>
      </c>
      <c r="E579" s="187" t="str">
        <f>VLOOKUP(Ruimtestaat[[#This Row],[Code]],Locaties[#All],6,FALSE)</f>
        <v>Oldenzaal</v>
      </c>
      <c r="F579" s="232"/>
      <c r="G579" s="187" t="s">
        <v>679</v>
      </c>
      <c r="H579" s="187" t="s">
        <v>770</v>
      </c>
      <c r="I579" s="232" t="s">
        <v>767</v>
      </c>
      <c r="J579" s="187">
        <v>19</v>
      </c>
      <c r="K579" s="187" t="str">
        <f>VLOOKUP(Ruimtestaat[[#This Row],[Ruimte code]],Ruimtegroepen[#All],2,FALSE)</f>
        <v>Kleedruimtes</v>
      </c>
      <c r="L579" s="202" t="s">
        <v>108</v>
      </c>
      <c r="M579" s="187" t="s">
        <v>1201</v>
      </c>
      <c r="N579" s="200">
        <v>14</v>
      </c>
      <c r="O579" s="200"/>
      <c r="P579" s="231" t="str">
        <f>VLOOKUP(Ruimtestaat[[#This Row],[Ruimte code]],Ruimtegroepen[#All],4,FALSE)</f>
        <v>V  (Verkeersruimte)</v>
      </c>
      <c r="Q579" s="201"/>
      <c r="R579" s="202">
        <v>42</v>
      </c>
      <c r="S579" s="202" t="s">
        <v>2</v>
      </c>
      <c r="T579" s="202">
        <f>IF(R579&gt;0,IF(RIGHT(Ruimtestaat[[#This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79" s="202">
        <f>IF(T579&gt;0,VLOOKUP($J579,Ruimtegroepen[],3,FALSE)*VLOOKUP($L579,Vloersoorten[],3,FALSE)*VLOOKUP($S579,Frequenties[],3,FALSE)*VLOOKUP($A579,Locaties[],3,FALSE),0)</f>
        <v>0</v>
      </c>
      <c r="V579" s="202">
        <f>Ruimtestaat[[#This Row],[Uitvoeringen werkdagen]]*Ruimtestaat[[#This Row],[Oppervlak (netto)]]</f>
        <v>2940</v>
      </c>
      <c r="W579" s="242">
        <f>IF(U579&gt;0,Ruimtestaat[[#This Row],[Prest. (m2 /jaar) werkdagen]]/Ruimtestaat[[#This Row],[Norm (m2/uur) werkdagen]],0)</f>
        <v>0</v>
      </c>
      <c r="X579" s="243">
        <f>Ruimtestaat[[#This Row],[uren / jaar werkdagen]]*Tariefsopbouw!$D$38</f>
        <v>0</v>
      </c>
      <c r="Y579" s="33"/>
      <c r="Z579" s="33">
        <f>IF(Ruimtestaat[[#This Row],[Frequentie weekend]]&gt;0,VALUE(LEFT(Y579,1))*R579,0)</f>
        <v>0</v>
      </c>
      <c r="AA579" s="33">
        <f>IF($Z579&gt;0,VLOOKUP($J579,Ruimtegroepen[],3,FALSE)*VLOOKUP($L579,Vloersoorten[],3,FALSE)*VLOOKUP($Y579,Frequenties[],3,FALSE)*VLOOKUP(#REF!,Locaties[],3,FALSE),0)</f>
        <v>0</v>
      </c>
      <c r="AB579" s="33"/>
      <c r="AC579" s="33"/>
      <c r="AD579" s="33">
        <f>Ruimtestaat[[#This Row],[uren / jaar weekend]]*Tariefsopbouw!$D$40</f>
        <v>0</v>
      </c>
      <c r="AE579" s="86">
        <f>Ruimtestaat[[#This Row],[Prest. (m2 /jaar) weekend]]+Ruimtestaat[[#This Row],[Prest. (m2 /jaar) werkdagen]]</f>
        <v>2940</v>
      </c>
      <c r="AF579" s="86">
        <f>Ruimtestaat[[#This Row],[uren / jaar weekend]]+Ruimtestaat[[#This Row],[uren / jaar werkdagen]]</f>
        <v>0</v>
      </c>
      <c r="AG579" s="87">
        <f>Ruimtestaat[[#This Row],[kosten / jaar weekend]]+Ruimtestaat[[#This Row],[kosten / jaar werkdagen]]</f>
        <v>0</v>
      </c>
    </row>
    <row r="580" spans="1:33" ht="15" customHeight="1">
      <c r="A580" s="187">
        <v>5</v>
      </c>
      <c r="B580" s="21" t="str">
        <f>VLOOKUP(Ruimtestaat[[#This Row],[Code]],Locaties[#All],2,FALSE)</f>
        <v>Potskamp</v>
      </c>
      <c r="C580" s="231" t="str">
        <f>VLOOKUP(Ruimtestaat[[#This Row],[Code]],Locaties[#All],4,FALSE)</f>
        <v>Potskampstraat 2</v>
      </c>
      <c r="D580" s="231" t="str">
        <f>VLOOKUP(Ruimtestaat[[#This Row],[Code]],Locaties[#All],5,FALSE)</f>
        <v>7573 CC</v>
      </c>
      <c r="E580" s="187" t="str">
        <f>VLOOKUP(Ruimtestaat[[#This Row],[Code]],Locaties[#All],6,FALSE)</f>
        <v>Oldenzaal</v>
      </c>
      <c r="F580" s="232"/>
      <c r="G580" s="187" t="s">
        <v>679</v>
      </c>
      <c r="H580" s="187"/>
      <c r="I580" s="232" t="s">
        <v>771</v>
      </c>
      <c r="J580" s="187">
        <v>17</v>
      </c>
      <c r="K580" s="187" t="str">
        <f>VLOOKUP(Ruimtestaat[[#This Row],[Ruimte code]],Ruimtegroepen[#All],2,FALSE)</f>
        <v>Toestelberging</v>
      </c>
      <c r="L580" s="187" t="s">
        <v>109</v>
      </c>
      <c r="M580" s="187" t="s">
        <v>1208</v>
      </c>
      <c r="N580" s="200">
        <v>38</v>
      </c>
      <c r="O580" s="200"/>
      <c r="P580" s="231" t="str">
        <f>VLOOKUP(Ruimtestaat[[#This Row],[Ruimte code]],Ruimtegroepen[#All],4,FALSE)</f>
        <v>V  (Verkeersruimte)</v>
      </c>
      <c r="Q580" s="201"/>
      <c r="R580" s="202">
        <v>42</v>
      </c>
      <c r="S580" s="202" t="s">
        <v>15</v>
      </c>
      <c r="T580" s="202">
        <f>IF(R580&gt;0,IF(RIGHT(Ruimtestaat[[#This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580" s="202">
        <f>IF(T580&gt;0,VLOOKUP($J580,Ruimtegroepen[],3,FALSE)*VLOOKUP($L580,Vloersoorten[],3,FALSE)*VLOOKUP($S580,Frequenties[],3,FALSE)*VLOOKUP($A580,Locaties[],3,FALSE),0)</f>
        <v>0</v>
      </c>
      <c r="V580" s="202">
        <f>Ruimtestaat[[#This Row],[Uitvoeringen werkdagen]]*Ruimtestaat[[#This Row],[Oppervlak (netto)]]</f>
        <v>1596</v>
      </c>
      <c r="W580" s="242">
        <f>IF(U580&gt;0,Ruimtestaat[[#This Row],[Prest. (m2 /jaar) werkdagen]]/Ruimtestaat[[#This Row],[Norm (m2/uur) werkdagen]],0)</f>
        <v>0</v>
      </c>
      <c r="X580" s="243">
        <f>Ruimtestaat[[#This Row],[uren / jaar werkdagen]]*Tariefsopbouw!$D$38</f>
        <v>0</v>
      </c>
      <c r="Y580" s="33"/>
      <c r="Z580" s="33">
        <f>IF(Ruimtestaat[[#This Row],[Frequentie weekend]]&gt;0,VALUE(LEFT(Y580,1))*R580,0)</f>
        <v>0</v>
      </c>
      <c r="AA580" s="33">
        <f>IF($Z580&gt;0,VLOOKUP($J580,Ruimtegroepen[],3,FALSE)*VLOOKUP($L580,Vloersoorten[],3,FALSE)*VLOOKUP($Y580,Frequenties[],3,FALSE)*VLOOKUP(#REF!,Locaties[],3,FALSE),0)</f>
        <v>0</v>
      </c>
      <c r="AB580" s="33"/>
      <c r="AC580" s="33"/>
      <c r="AD580" s="33">
        <f>Ruimtestaat[[#This Row],[uren / jaar weekend]]*Tariefsopbouw!$D$40</f>
        <v>0</v>
      </c>
      <c r="AE580" s="86">
        <f>Ruimtestaat[[#This Row],[Prest. (m2 /jaar) weekend]]+Ruimtestaat[[#This Row],[Prest. (m2 /jaar) werkdagen]]</f>
        <v>1596</v>
      </c>
      <c r="AF580" s="86">
        <f>Ruimtestaat[[#This Row],[uren / jaar weekend]]+Ruimtestaat[[#This Row],[uren / jaar werkdagen]]</f>
        <v>0</v>
      </c>
      <c r="AG580" s="87">
        <f>Ruimtestaat[[#This Row],[kosten / jaar weekend]]+Ruimtestaat[[#This Row],[kosten / jaar werkdagen]]</f>
        <v>0</v>
      </c>
    </row>
    <row r="581" spans="1:33" ht="15" customHeight="1">
      <c r="A581" s="187">
        <v>5</v>
      </c>
      <c r="B581" s="21" t="str">
        <f>VLOOKUP(Ruimtestaat[[#This Row],[Code]],Locaties[#All],2,FALSE)</f>
        <v>Potskamp</v>
      </c>
      <c r="C581" s="231" t="str">
        <f>VLOOKUP(Ruimtestaat[[#This Row],[Code]],Locaties[#All],4,FALSE)</f>
        <v>Potskampstraat 2</v>
      </c>
      <c r="D581" s="231" t="str">
        <f>VLOOKUP(Ruimtestaat[[#This Row],[Code]],Locaties[#All],5,FALSE)</f>
        <v>7573 CC</v>
      </c>
      <c r="E581" s="187" t="str">
        <f>VLOOKUP(Ruimtestaat[[#This Row],[Code]],Locaties[#All],6,FALSE)</f>
        <v>Oldenzaal</v>
      </c>
      <c r="F581" s="232"/>
      <c r="G581" s="187" t="s">
        <v>679</v>
      </c>
      <c r="H581" s="187"/>
      <c r="I581" s="232" t="s">
        <v>698</v>
      </c>
      <c r="J581" s="187">
        <v>5</v>
      </c>
      <c r="K581" s="187" t="str">
        <f>VLOOKUP(Ruimtestaat[[#This Row],[Ruimte code]],Ruimtegroepen[#All],2,FALSE)</f>
        <v>Sanitair</v>
      </c>
      <c r="L581" s="202" t="s">
        <v>108</v>
      </c>
      <c r="M581" s="187" t="s">
        <v>1201</v>
      </c>
      <c r="N581" s="200">
        <v>6</v>
      </c>
      <c r="O581" s="200"/>
      <c r="P581" s="231" t="str">
        <f>VLOOKUP(Ruimtestaat[[#This Row],[Ruimte code]],Ruimtegroepen[#All],4,FALSE)</f>
        <v>S  (Sanitair)</v>
      </c>
      <c r="Q581" s="201"/>
      <c r="R581" s="202">
        <v>42</v>
      </c>
      <c r="S581" s="202" t="s">
        <v>19</v>
      </c>
      <c r="T581" s="202">
        <f>IF(R581&gt;0,IF(RIGHT(Ruimtestaat[[#This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581" s="202">
        <f>IF(T581&gt;0,VLOOKUP($J581,Ruimtegroepen[],3,FALSE)*VLOOKUP($L581,Vloersoorten[],3,FALSE)*VLOOKUP($S581,Frequenties[],3,FALSE)*VLOOKUP($A581,Locaties[],3,FALSE),0)</f>
        <v>0</v>
      </c>
      <c r="V581" s="202">
        <f>Ruimtestaat[[#This Row],[Uitvoeringen werkdagen]]*Ruimtestaat[[#This Row],[Oppervlak (netto)]]</f>
        <v>2520</v>
      </c>
      <c r="W581" s="242">
        <f>IF(U581&gt;0,Ruimtestaat[[#This Row],[Prest. (m2 /jaar) werkdagen]]/Ruimtestaat[[#This Row],[Norm (m2/uur) werkdagen]],0)</f>
        <v>0</v>
      </c>
      <c r="X581" s="243">
        <f>Ruimtestaat[[#This Row],[uren / jaar werkdagen]]*Tariefsopbouw!$D$38</f>
        <v>0</v>
      </c>
      <c r="Y581" s="33"/>
      <c r="Z581" s="33">
        <f>IF(Ruimtestaat[[#This Row],[Frequentie weekend]]&gt;0,VALUE(LEFT(Y581,1))*R581,0)</f>
        <v>0</v>
      </c>
      <c r="AA581" s="33">
        <f>IF($Z581&gt;0,VLOOKUP($J581,Ruimtegroepen[],3,FALSE)*VLOOKUP($L581,Vloersoorten[],3,FALSE)*VLOOKUP($Y581,Frequenties[],3,FALSE)*VLOOKUP(#REF!,Locaties[],3,FALSE),0)</f>
        <v>0</v>
      </c>
      <c r="AB581" s="33"/>
      <c r="AC581" s="33"/>
      <c r="AD581" s="33">
        <f>Ruimtestaat[[#This Row],[uren / jaar weekend]]*Tariefsopbouw!$D$40</f>
        <v>0</v>
      </c>
      <c r="AE581" s="86">
        <f>Ruimtestaat[[#This Row],[Prest. (m2 /jaar) weekend]]+Ruimtestaat[[#This Row],[Prest. (m2 /jaar) werkdagen]]</f>
        <v>2520</v>
      </c>
      <c r="AF581" s="86">
        <f>Ruimtestaat[[#This Row],[uren / jaar weekend]]+Ruimtestaat[[#This Row],[uren / jaar werkdagen]]</f>
        <v>0</v>
      </c>
      <c r="AG581" s="87">
        <f>Ruimtestaat[[#This Row],[kosten / jaar weekend]]+Ruimtestaat[[#This Row],[kosten / jaar werkdagen]]</f>
        <v>0</v>
      </c>
    </row>
    <row r="582" spans="1:33" ht="15" customHeight="1">
      <c r="A582" s="187">
        <v>5</v>
      </c>
      <c r="B582" s="21" t="str">
        <f>VLOOKUP(Ruimtestaat[[#This Row],[Code]],Locaties[#All],2,FALSE)</f>
        <v>Potskamp</v>
      </c>
      <c r="C582" s="231" t="str">
        <f>VLOOKUP(Ruimtestaat[[#This Row],[Code]],Locaties[#All],4,FALSE)</f>
        <v>Potskampstraat 2</v>
      </c>
      <c r="D582" s="231" t="str">
        <f>VLOOKUP(Ruimtestaat[[#This Row],[Code]],Locaties[#All],5,FALSE)</f>
        <v>7573 CC</v>
      </c>
      <c r="E582" s="187" t="str">
        <f>VLOOKUP(Ruimtestaat[[#This Row],[Code]],Locaties[#All],6,FALSE)</f>
        <v>Oldenzaal</v>
      </c>
      <c r="F582" s="232"/>
      <c r="G582" s="187" t="s">
        <v>679</v>
      </c>
      <c r="H582" s="187"/>
      <c r="I582" s="232" t="s">
        <v>698</v>
      </c>
      <c r="J582" s="187">
        <v>5</v>
      </c>
      <c r="K582" s="187" t="str">
        <f>VLOOKUP(Ruimtestaat[[#This Row],[Ruimte code]],Ruimtegroepen[#All],2,FALSE)</f>
        <v>Sanitair</v>
      </c>
      <c r="L582" s="202" t="s">
        <v>108</v>
      </c>
      <c r="M582" s="187" t="s">
        <v>1201</v>
      </c>
      <c r="N582" s="200">
        <v>6</v>
      </c>
      <c r="O582" s="200"/>
      <c r="P582" s="231" t="str">
        <f>VLOOKUP(Ruimtestaat[[#This Row],[Ruimte code]],Ruimtegroepen[#All],4,FALSE)</f>
        <v>S  (Sanitair)</v>
      </c>
      <c r="Q582" s="201"/>
      <c r="R582" s="202">
        <v>42</v>
      </c>
      <c r="S582" s="202" t="s">
        <v>19</v>
      </c>
      <c r="T582" s="202">
        <f>IF(R582&gt;0,IF(RIGHT(Ruimtestaat[[#This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582" s="202">
        <f>IF(T582&gt;0,VLOOKUP($J582,Ruimtegroepen[],3,FALSE)*VLOOKUP($L582,Vloersoorten[],3,FALSE)*VLOOKUP($S582,Frequenties[],3,FALSE)*VLOOKUP($A582,Locaties[],3,FALSE),0)</f>
        <v>0</v>
      </c>
      <c r="V582" s="202">
        <f>Ruimtestaat[[#This Row],[Uitvoeringen werkdagen]]*Ruimtestaat[[#This Row],[Oppervlak (netto)]]</f>
        <v>2520</v>
      </c>
      <c r="W582" s="242">
        <f>IF(U582&gt;0,Ruimtestaat[[#This Row],[Prest. (m2 /jaar) werkdagen]]/Ruimtestaat[[#This Row],[Norm (m2/uur) werkdagen]],0)</f>
        <v>0</v>
      </c>
      <c r="X582" s="243">
        <f>Ruimtestaat[[#This Row],[uren / jaar werkdagen]]*Tariefsopbouw!$D$38</f>
        <v>0</v>
      </c>
      <c r="Y582" s="33"/>
      <c r="Z582" s="33">
        <f>IF(Ruimtestaat[[#This Row],[Frequentie weekend]]&gt;0,VALUE(LEFT(Y582,1))*R582,0)</f>
        <v>0</v>
      </c>
      <c r="AA582" s="33">
        <f>IF($Z582&gt;0,VLOOKUP($J582,Ruimtegroepen[],3,FALSE)*VLOOKUP($L582,Vloersoorten[],3,FALSE)*VLOOKUP($Y582,Frequenties[],3,FALSE)*VLOOKUP(#REF!,Locaties[],3,FALSE),0)</f>
        <v>0</v>
      </c>
      <c r="AB582" s="33"/>
      <c r="AC582" s="33"/>
      <c r="AD582" s="33">
        <f>Ruimtestaat[[#This Row],[uren / jaar weekend]]*Tariefsopbouw!$D$40</f>
        <v>0</v>
      </c>
      <c r="AE582" s="86">
        <f>Ruimtestaat[[#This Row],[Prest. (m2 /jaar) weekend]]+Ruimtestaat[[#This Row],[Prest. (m2 /jaar) werkdagen]]</f>
        <v>2520</v>
      </c>
      <c r="AF582" s="86">
        <f>Ruimtestaat[[#This Row],[uren / jaar weekend]]+Ruimtestaat[[#This Row],[uren / jaar werkdagen]]</f>
        <v>0</v>
      </c>
      <c r="AG582" s="87">
        <f>Ruimtestaat[[#This Row],[kosten / jaar weekend]]+Ruimtestaat[[#This Row],[kosten / jaar werkdagen]]</f>
        <v>0</v>
      </c>
    </row>
    <row r="583" spans="1:33" ht="15" customHeight="1">
      <c r="A583" s="187">
        <v>5</v>
      </c>
      <c r="B583" s="21" t="str">
        <f>VLOOKUP(Ruimtestaat[[#This Row],[Code]],Locaties[#All],2,FALSE)</f>
        <v>Potskamp</v>
      </c>
      <c r="C583" s="231" t="str">
        <f>VLOOKUP(Ruimtestaat[[#This Row],[Code]],Locaties[#All],4,FALSE)</f>
        <v>Potskampstraat 2</v>
      </c>
      <c r="D583" s="231" t="str">
        <f>VLOOKUP(Ruimtestaat[[#This Row],[Code]],Locaties[#All],5,FALSE)</f>
        <v>7573 CC</v>
      </c>
      <c r="E583" s="187" t="str">
        <f>VLOOKUP(Ruimtestaat[[#This Row],[Code]],Locaties[#All],6,FALSE)</f>
        <v>Oldenzaal</v>
      </c>
      <c r="F583" s="232"/>
      <c r="G583" s="187" t="s">
        <v>679</v>
      </c>
      <c r="H583" s="187">
        <v>81</v>
      </c>
      <c r="I583" s="232" t="s">
        <v>590</v>
      </c>
      <c r="J583" s="187">
        <v>2</v>
      </c>
      <c r="K583" s="187" t="str">
        <f>VLOOKUP(Ruimtestaat[[#This Row],[Ruimte code]],Ruimtegroepen[#All],2,FALSE)</f>
        <v>Kantoren/kantoortuin</v>
      </c>
      <c r="L583" s="202" t="s">
        <v>108</v>
      </c>
      <c r="M583" s="187" t="s">
        <v>1201</v>
      </c>
      <c r="N583" s="200">
        <v>20</v>
      </c>
      <c r="O583" s="200"/>
      <c r="P583" s="231" t="str">
        <f>VLOOKUP(Ruimtestaat[[#This Row],[Ruimte code]],Ruimtegroepen[#All],4,FALSE)</f>
        <v>B  (Bureauruimte)</v>
      </c>
      <c r="Q583" s="201"/>
      <c r="R583" s="202">
        <v>42</v>
      </c>
      <c r="S583" s="202" t="s">
        <v>2</v>
      </c>
      <c r="T583" s="202">
        <f>IF(R583&gt;0,IF(RIGHT(Ruimtestaat[[#This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83" s="202">
        <f>IF(T583&gt;0,VLOOKUP($J583,Ruimtegroepen[],3,FALSE)*VLOOKUP($L583,Vloersoorten[],3,FALSE)*VLOOKUP($S583,Frequenties[],3,FALSE)*VLOOKUP($A583,Locaties[],3,FALSE),0)</f>
        <v>0</v>
      </c>
      <c r="V583" s="202">
        <f>Ruimtestaat[[#This Row],[Uitvoeringen werkdagen]]*Ruimtestaat[[#This Row],[Oppervlak (netto)]]</f>
        <v>4200</v>
      </c>
      <c r="W583" s="242">
        <f>IF(U583&gt;0,Ruimtestaat[[#This Row],[Prest. (m2 /jaar) werkdagen]]/Ruimtestaat[[#This Row],[Norm (m2/uur) werkdagen]],0)</f>
        <v>0</v>
      </c>
      <c r="X583" s="243">
        <f>Ruimtestaat[[#This Row],[uren / jaar werkdagen]]*Tariefsopbouw!$D$38</f>
        <v>0</v>
      </c>
      <c r="Y583" s="33"/>
      <c r="Z583" s="33">
        <f>IF(Ruimtestaat[[#This Row],[Frequentie weekend]]&gt;0,VALUE(LEFT(Y583,1))*R583,0)</f>
        <v>0</v>
      </c>
      <c r="AA583" s="33">
        <f>IF($Z583&gt;0,VLOOKUP($J583,Ruimtegroepen[],3,FALSE)*VLOOKUP($L583,Vloersoorten[],3,FALSE)*VLOOKUP($Y583,Frequenties[],3,FALSE)*VLOOKUP(#REF!,Locaties[],3,FALSE),0)</f>
        <v>0</v>
      </c>
      <c r="AB583" s="33"/>
      <c r="AC583" s="33"/>
      <c r="AD583" s="33">
        <f>Ruimtestaat[[#This Row],[uren / jaar weekend]]*Tariefsopbouw!$D$40</f>
        <v>0</v>
      </c>
      <c r="AE583" s="86">
        <f>Ruimtestaat[[#This Row],[Prest. (m2 /jaar) weekend]]+Ruimtestaat[[#This Row],[Prest. (m2 /jaar) werkdagen]]</f>
        <v>4200</v>
      </c>
      <c r="AF583" s="86">
        <f>Ruimtestaat[[#This Row],[uren / jaar weekend]]+Ruimtestaat[[#This Row],[uren / jaar werkdagen]]</f>
        <v>0</v>
      </c>
      <c r="AG583" s="87">
        <f>Ruimtestaat[[#This Row],[kosten / jaar weekend]]+Ruimtestaat[[#This Row],[kosten / jaar werkdagen]]</f>
        <v>0</v>
      </c>
    </row>
    <row r="584" spans="1:33" ht="15" customHeight="1">
      <c r="A584" s="187">
        <v>5</v>
      </c>
      <c r="B584" s="21" t="str">
        <f>VLOOKUP(Ruimtestaat[[#This Row],[Code]],Locaties[#All],2,FALSE)</f>
        <v>Potskamp</v>
      </c>
      <c r="C584" s="231" t="str">
        <f>VLOOKUP(Ruimtestaat[[#This Row],[Code]],Locaties[#All],4,FALSE)</f>
        <v>Potskampstraat 2</v>
      </c>
      <c r="D584" s="231" t="str">
        <f>VLOOKUP(Ruimtestaat[[#This Row],[Code]],Locaties[#All],5,FALSE)</f>
        <v>7573 CC</v>
      </c>
      <c r="E584" s="187" t="str">
        <f>VLOOKUP(Ruimtestaat[[#This Row],[Code]],Locaties[#All],6,FALSE)</f>
        <v>Oldenzaal</v>
      </c>
      <c r="F584" s="232"/>
      <c r="G584" s="187" t="s">
        <v>679</v>
      </c>
      <c r="H584" s="187" t="s">
        <v>772</v>
      </c>
      <c r="I584" s="232" t="s">
        <v>698</v>
      </c>
      <c r="J584" s="187">
        <v>5</v>
      </c>
      <c r="K584" s="187" t="str">
        <f>VLOOKUP(Ruimtestaat[[#This Row],[Ruimte code]],Ruimtegroepen[#All],2,FALSE)</f>
        <v>Sanitair</v>
      </c>
      <c r="L584" s="202" t="s">
        <v>108</v>
      </c>
      <c r="M584" s="187" t="s">
        <v>1201</v>
      </c>
      <c r="N584" s="200">
        <v>5</v>
      </c>
      <c r="O584" s="200"/>
      <c r="P584" s="231" t="str">
        <f>VLOOKUP(Ruimtestaat[[#This Row],[Ruimte code]],Ruimtegroepen[#All],4,FALSE)</f>
        <v>S  (Sanitair)</v>
      </c>
      <c r="Q584" s="201"/>
      <c r="R584" s="202">
        <v>42</v>
      </c>
      <c r="S584" s="202" t="s">
        <v>19</v>
      </c>
      <c r="T584" s="202">
        <f>IF(R584&gt;0,IF(RIGHT(Ruimtestaat[[#This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584" s="202">
        <f>IF(T584&gt;0,VLOOKUP($J584,Ruimtegroepen[],3,FALSE)*VLOOKUP($L584,Vloersoorten[],3,FALSE)*VLOOKUP($S584,Frequenties[],3,FALSE)*VLOOKUP($A584,Locaties[],3,FALSE),0)</f>
        <v>0</v>
      </c>
      <c r="V584" s="202">
        <f>Ruimtestaat[[#This Row],[Uitvoeringen werkdagen]]*Ruimtestaat[[#This Row],[Oppervlak (netto)]]</f>
        <v>2100</v>
      </c>
      <c r="W584" s="242">
        <f>IF(U584&gt;0,Ruimtestaat[[#This Row],[Prest. (m2 /jaar) werkdagen]]/Ruimtestaat[[#This Row],[Norm (m2/uur) werkdagen]],0)</f>
        <v>0</v>
      </c>
      <c r="X584" s="243">
        <f>Ruimtestaat[[#This Row],[uren / jaar werkdagen]]*Tariefsopbouw!$D$38</f>
        <v>0</v>
      </c>
      <c r="Y584" s="33"/>
      <c r="Z584" s="33">
        <f>IF(Ruimtestaat[[#This Row],[Frequentie weekend]]&gt;0,VALUE(LEFT(Y584,1))*R584,0)</f>
        <v>0</v>
      </c>
      <c r="AA584" s="33">
        <f>IF($Z584&gt;0,VLOOKUP($J584,Ruimtegroepen[],3,FALSE)*VLOOKUP($L584,Vloersoorten[],3,FALSE)*VLOOKUP($Y584,Frequenties[],3,FALSE)*VLOOKUP(#REF!,Locaties[],3,FALSE),0)</f>
        <v>0</v>
      </c>
      <c r="AB584" s="33"/>
      <c r="AC584" s="33"/>
      <c r="AD584" s="33">
        <f>Ruimtestaat[[#This Row],[uren / jaar weekend]]*Tariefsopbouw!$D$40</f>
        <v>0</v>
      </c>
      <c r="AE584" s="86">
        <f>Ruimtestaat[[#This Row],[Prest. (m2 /jaar) weekend]]+Ruimtestaat[[#This Row],[Prest. (m2 /jaar) werkdagen]]</f>
        <v>2100</v>
      </c>
      <c r="AF584" s="86">
        <f>Ruimtestaat[[#This Row],[uren / jaar weekend]]+Ruimtestaat[[#This Row],[uren / jaar werkdagen]]</f>
        <v>0</v>
      </c>
      <c r="AG584" s="87">
        <f>Ruimtestaat[[#This Row],[kosten / jaar weekend]]+Ruimtestaat[[#This Row],[kosten / jaar werkdagen]]</f>
        <v>0</v>
      </c>
    </row>
    <row r="585" spans="1:33" ht="15" customHeight="1">
      <c r="A585" s="187">
        <v>5</v>
      </c>
      <c r="B585" s="21" t="str">
        <f>VLOOKUP(Ruimtestaat[[#This Row],[Code]],Locaties[#All],2,FALSE)</f>
        <v>Potskamp</v>
      </c>
      <c r="C585" s="231" t="str">
        <f>VLOOKUP(Ruimtestaat[[#This Row],[Code]],Locaties[#All],4,FALSE)</f>
        <v>Potskampstraat 2</v>
      </c>
      <c r="D585" s="231" t="str">
        <f>VLOOKUP(Ruimtestaat[[#This Row],[Code]],Locaties[#All],5,FALSE)</f>
        <v>7573 CC</v>
      </c>
      <c r="E585" s="187" t="str">
        <f>VLOOKUP(Ruimtestaat[[#This Row],[Code]],Locaties[#All],6,FALSE)</f>
        <v>Oldenzaal</v>
      </c>
      <c r="F585" s="232"/>
      <c r="G585" s="187" t="s">
        <v>679</v>
      </c>
      <c r="H585" s="187" t="s">
        <v>773</v>
      </c>
      <c r="I585" s="232" t="s">
        <v>698</v>
      </c>
      <c r="J585" s="187">
        <v>5</v>
      </c>
      <c r="K585" s="187" t="str">
        <f>VLOOKUP(Ruimtestaat[[#This Row],[Ruimte code]],Ruimtegroepen[#All],2,FALSE)</f>
        <v>Sanitair</v>
      </c>
      <c r="L585" s="202" t="s">
        <v>108</v>
      </c>
      <c r="M585" s="187" t="s">
        <v>1201</v>
      </c>
      <c r="N585" s="200">
        <v>5</v>
      </c>
      <c r="O585" s="200"/>
      <c r="P585" s="231" t="str">
        <f>VLOOKUP(Ruimtestaat[[#This Row],[Ruimte code]],Ruimtegroepen[#All],4,FALSE)</f>
        <v>S  (Sanitair)</v>
      </c>
      <c r="Q585" s="201"/>
      <c r="R585" s="202">
        <v>42</v>
      </c>
      <c r="S585" s="202" t="s">
        <v>19</v>
      </c>
      <c r="T585" s="202">
        <f>IF(R585&gt;0,IF(RIGHT(Ruimtestaat[[#This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585" s="202">
        <f>IF(T585&gt;0,VLOOKUP($J585,Ruimtegroepen[],3,FALSE)*VLOOKUP($L585,Vloersoorten[],3,FALSE)*VLOOKUP($S585,Frequenties[],3,FALSE)*VLOOKUP($A585,Locaties[],3,FALSE),0)</f>
        <v>0</v>
      </c>
      <c r="V585" s="202">
        <f>Ruimtestaat[[#This Row],[Uitvoeringen werkdagen]]*Ruimtestaat[[#This Row],[Oppervlak (netto)]]</f>
        <v>2100</v>
      </c>
      <c r="W585" s="242">
        <f>IF(U585&gt;0,Ruimtestaat[[#This Row],[Prest. (m2 /jaar) werkdagen]]/Ruimtestaat[[#This Row],[Norm (m2/uur) werkdagen]],0)</f>
        <v>0</v>
      </c>
      <c r="X585" s="243">
        <f>Ruimtestaat[[#This Row],[uren / jaar werkdagen]]*Tariefsopbouw!$D$38</f>
        <v>0</v>
      </c>
      <c r="Y585" s="33"/>
      <c r="Z585" s="33">
        <f>IF(Ruimtestaat[[#This Row],[Frequentie weekend]]&gt;0,VALUE(LEFT(Y585,1))*R585,0)</f>
        <v>0</v>
      </c>
      <c r="AA585" s="33">
        <f>IF($Z585&gt;0,VLOOKUP($J585,Ruimtegroepen[],3,FALSE)*VLOOKUP($L585,Vloersoorten[],3,FALSE)*VLOOKUP($Y585,Frequenties[],3,FALSE)*VLOOKUP(#REF!,Locaties[],3,FALSE),0)</f>
        <v>0</v>
      </c>
      <c r="AB585" s="33"/>
      <c r="AC585" s="33"/>
      <c r="AD585" s="33">
        <f>Ruimtestaat[[#This Row],[uren / jaar weekend]]*Tariefsopbouw!$D$40</f>
        <v>0</v>
      </c>
      <c r="AE585" s="86">
        <f>Ruimtestaat[[#This Row],[Prest. (m2 /jaar) weekend]]+Ruimtestaat[[#This Row],[Prest. (m2 /jaar) werkdagen]]</f>
        <v>2100</v>
      </c>
      <c r="AF585" s="86">
        <f>Ruimtestaat[[#This Row],[uren / jaar weekend]]+Ruimtestaat[[#This Row],[uren / jaar werkdagen]]</f>
        <v>0</v>
      </c>
      <c r="AG585" s="87">
        <f>Ruimtestaat[[#This Row],[kosten / jaar weekend]]+Ruimtestaat[[#This Row],[kosten / jaar werkdagen]]</f>
        <v>0</v>
      </c>
    </row>
    <row r="586" spans="1:33" ht="15" customHeight="1">
      <c r="A586" s="187">
        <v>5</v>
      </c>
      <c r="B586" s="21" t="str">
        <f>VLOOKUP(Ruimtestaat[[#This Row],[Code]],Locaties[#All],2,FALSE)</f>
        <v>Potskamp</v>
      </c>
      <c r="C586" s="231" t="str">
        <f>VLOOKUP(Ruimtestaat[[#This Row],[Code]],Locaties[#All],4,FALSE)</f>
        <v>Potskampstraat 2</v>
      </c>
      <c r="D586" s="231" t="str">
        <f>VLOOKUP(Ruimtestaat[[#This Row],[Code]],Locaties[#All],5,FALSE)</f>
        <v>7573 CC</v>
      </c>
      <c r="E586" s="187" t="str">
        <f>VLOOKUP(Ruimtestaat[[#This Row],[Code]],Locaties[#All],6,FALSE)</f>
        <v>Oldenzaal</v>
      </c>
      <c r="F586" s="232"/>
      <c r="G586" s="187" t="s">
        <v>679</v>
      </c>
      <c r="H586" s="187">
        <v>80</v>
      </c>
      <c r="I586" s="232" t="s">
        <v>619</v>
      </c>
      <c r="J586" s="187">
        <v>18</v>
      </c>
      <c r="K586" s="187" t="str">
        <f>VLOOKUP(Ruimtestaat[[#This Row],[Ruimte code]],Ruimtegroepen[#All],2,FALSE)</f>
        <v>Gymzaal</v>
      </c>
      <c r="L586" s="187" t="s">
        <v>109</v>
      </c>
      <c r="M586" s="187" t="s">
        <v>1208</v>
      </c>
      <c r="N586" s="200">
        <v>254</v>
      </c>
      <c r="O586" s="200"/>
      <c r="P586" s="231" t="str">
        <f>VLOOKUP(Ruimtestaat[[#This Row],[Ruimte code]],Ruimtegroepen[#All],4,FALSE)</f>
        <v>Sp  (Sportruimte)</v>
      </c>
      <c r="Q586" s="201"/>
      <c r="R586" s="202">
        <v>42</v>
      </c>
      <c r="S586" s="202" t="s">
        <v>2</v>
      </c>
      <c r="T586" s="202">
        <f>IF(R586&gt;0,IF(RIGHT(Ruimtestaat[[#This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86" s="202">
        <f>IF(T586&gt;0,VLOOKUP($J586,Ruimtegroepen[],3,FALSE)*VLOOKUP($L586,Vloersoorten[],3,FALSE)*VLOOKUP($S586,Frequenties[],3,FALSE)*VLOOKUP($A586,Locaties[],3,FALSE),0)</f>
        <v>0</v>
      </c>
      <c r="V586" s="202">
        <f>Ruimtestaat[[#This Row],[Uitvoeringen werkdagen]]*Ruimtestaat[[#This Row],[Oppervlak (netto)]]</f>
        <v>53340</v>
      </c>
      <c r="W586" s="242">
        <f>IF(U586&gt;0,Ruimtestaat[[#This Row],[Prest. (m2 /jaar) werkdagen]]/Ruimtestaat[[#This Row],[Norm (m2/uur) werkdagen]],0)</f>
        <v>0</v>
      </c>
      <c r="X586" s="243">
        <f>Ruimtestaat[[#This Row],[uren / jaar werkdagen]]*Tariefsopbouw!$D$38</f>
        <v>0</v>
      </c>
      <c r="Y586" s="33"/>
      <c r="Z586" s="33">
        <f>IF(Ruimtestaat[[#This Row],[Frequentie weekend]]&gt;0,VALUE(LEFT(Y586,1))*R586,0)</f>
        <v>0</v>
      </c>
      <c r="AA586" s="33">
        <f>IF($Z586&gt;0,VLOOKUP($J586,Ruimtegroepen[],3,FALSE)*VLOOKUP($L586,Vloersoorten[],3,FALSE)*VLOOKUP($Y586,Frequenties[],3,FALSE)*VLOOKUP(#REF!,Locaties[],3,FALSE),0)</f>
        <v>0</v>
      </c>
      <c r="AB586" s="33"/>
      <c r="AC586" s="33"/>
      <c r="AD586" s="33">
        <f>Ruimtestaat[[#This Row],[uren / jaar weekend]]*Tariefsopbouw!$D$40</f>
        <v>0</v>
      </c>
      <c r="AE586" s="86">
        <f>Ruimtestaat[[#This Row],[Prest. (m2 /jaar) weekend]]+Ruimtestaat[[#This Row],[Prest. (m2 /jaar) werkdagen]]</f>
        <v>53340</v>
      </c>
      <c r="AF586" s="86">
        <f>Ruimtestaat[[#This Row],[uren / jaar weekend]]+Ruimtestaat[[#This Row],[uren / jaar werkdagen]]</f>
        <v>0</v>
      </c>
      <c r="AG586" s="87">
        <f>Ruimtestaat[[#This Row],[kosten / jaar weekend]]+Ruimtestaat[[#This Row],[kosten / jaar werkdagen]]</f>
        <v>0</v>
      </c>
    </row>
    <row r="587" spans="1:33" ht="15" customHeight="1">
      <c r="A587" s="187">
        <v>5</v>
      </c>
      <c r="B587" s="21" t="str">
        <f>VLOOKUP(Ruimtestaat[[#This Row],[Code]],Locaties[#All],2,FALSE)</f>
        <v>Potskamp</v>
      </c>
      <c r="C587" s="231" t="str">
        <f>VLOOKUP(Ruimtestaat[[#This Row],[Code]],Locaties[#All],4,FALSE)</f>
        <v>Potskampstraat 2</v>
      </c>
      <c r="D587" s="231" t="str">
        <f>VLOOKUP(Ruimtestaat[[#This Row],[Code]],Locaties[#All],5,FALSE)</f>
        <v>7573 CC</v>
      </c>
      <c r="E587" s="187" t="str">
        <f>VLOOKUP(Ruimtestaat[[#This Row],[Code]],Locaties[#All],6,FALSE)</f>
        <v>Oldenzaal</v>
      </c>
      <c r="F587" s="232"/>
      <c r="G587" s="187" t="s">
        <v>679</v>
      </c>
      <c r="H587" s="187"/>
      <c r="I587" s="232" t="s">
        <v>771</v>
      </c>
      <c r="J587" s="187">
        <v>17</v>
      </c>
      <c r="K587" s="187" t="str">
        <f>VLOOKUP(Ruimtestaat[[#This Row],[Ruimte code]],Ruimtegroepen[#All],2,FALSE)</f>
        <v>Toestelberging</v>
      </c>
      <c r="L587" s="187" t="s">
        <v>109</v>
      </c>
      <c r="M587" s="187" t="s">
        <v>1208</v>
      </c>
      <c r="N587" s="200">
        <v>58</v>
      </c>
      <c r="O587" s="200"/>
      <c r="P587" s="231" t="str">
        <f>VLOOKUP(Ruimtestaat[[#This Row],[Ruimte code]],Ruimtegroepen[#All],4,FALSE)</f>
        <v>V  (Verkeersruimte)</v>
      </c>
      <c r="Q587" s="201"/>
      <c r="R587" s="202">
        <v>42</v>
      </c>
      <c r="S587" s="202" t="s">
        <v>15</v>
      </c>
      <c r="T587" s="202">
        <f>IF(R587&gt;0,IF(RIGHT(Ruimtestaat[[#This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587" s="202">
        <f>IF(T587&gt;0,VLOOKUP($J587,Ruimtegroepen[],3,FALSE)*VLOOKUP($L587,Vloersoorten[],3,FALSE)*VLOOKUP($S587,Frequenties[],3,FALSE)*VLOOKUP($A587,Locaties[],3,FALSE),0)</f>
        <v>0</v>
      </c>
      <c r="V587" s="202">
        <f>Ruimtestaat[[#This Row],[Uitvoeringen werkdagen]]*Ruimtestaat[[#This Row],[Oppervlak (netto)]]</f>
        <v>2436</v>
      </c>
      <c r="W587" s="242">
        <f>IF(U587&gt;0,Ruimtestaat[[#This Row],[Prest. (m2 /jaar) werkdagen]]/Ruimtestaat[[#This Row],[Norm (m2/uur) werkdagen]],0)</f>
        <v>0</v>
      </c>
      <c r="X587" s="243">
        <f>Ruimtestaat[[#This Row],[uren / jaar werkdagen]]*Tariefsopbouw!$D$38</f>
        <v>0</v>
      </c>
      <c r="Y587" s="33"/>
      <c r="Z587" s="33">
        <f>IF(Ruimtestaat[[#This Row],[Frequentie weekend]]&gt;0,VALUE(LEFT(Y587,1))*R587,0)</f>
        <v>0</v>
      </c>
      <c r="AA587" s="33">
        <f>IF($Z587&gt;0,VLOOKUP($J587,Ruimtegroepen[],3,FALSE)*VLOOKUP($L587,Vloersoorten[],3,FALSE)*VLOOKUP($Y587,Frequenties[],3,FALSE)*VLOOKUP(#REF!,Locaties[],3,FALSE),0)</f>
        <v>0</v>
      </c>
      <c r="AB587" s="33"/>
      <c r="AC587" s="33"/>
      <c r="AD587" s="33">
        <f>Ruimtestaat[[#This Row],[uren / jaar weekend]]*Tariefsopbouw!$D$40</f>
        <v>0</v>
      </c>
      <c r="AE587" s="86">
        <f>Ruimtestaat[[#This Row],[Prest. (m2 /jaar) weekend]]+Ruimtestaat[[#This Row],[Prest. (m2 /jaar) werkdagen]]</f>
        <v>2436</v>
      </c>
      <c r="AF587" s="86">
        <f>Ruimtestaat[[#This Row],[uren / jaar weekend]]+Ruimtestaat[[#This Row],[uren / jaar werkdagen]]</f>
        <v>0</v>
      </c>
      <c r="AG587" s="87">
        <f>Ruimtestaat[[#This Row],[kosten / jaar weekend]]+Ruimtestaat[[#This Row],[kosten / jaar werkdagen]]</f>
        <v>0</v>
      </c>
    </row>
    <row r="588" spans="1:33" ht="15" customHeight="1">
      <c r="A588" s="187">
        <v>5</v>
      </c>
      <c r="B588" s="21" t="str">
        <f>VLOOKUP(Ruimtestaat[[#This Row],[Code]],Locaties[#All],2,FALSE)</f>
        <v>Potskamp</v>
      </c>
      <c r="C588" s="231" t="str">
        <f>VLOOKUP(Ruimtestaat[[#This Row],[Code]],Locaties[#All],4,FALSE)</f>
        <v>Potskampstraat 2</v>
      </c>
      <c r="D588" s="231" t="str">
        <f>VLOOKUP(Ruimtestaat[[#This Row],[Code]],Locaties[#All],5,FALSE)</f>
        <v>7573 CC</v>
      </c>
      <c r="E588" s="187" t="str">
        <f>VLOOKUP(Ruimtestaat[[#This Row],[Code]],Locaties[#All],6,FALSE)</f>
        <v>Oldenzaal</v>
      </c>
      <c r="F588" s="232"/>
      <c r="G588" s="187" t="s">
        <v>679</v>
      </c>
      <c r="H588" s="187">
        <v>82</v>
      </c>
      <c r="I588" s="232" t="s">
        <v>619</v>
      </c>
      <c r="J588" s="187">
        <v>18</v>
      </c>
      <c r="K588" s="187" t="str">
        <f>VLOOKUP(Ruimtestaat[[#This Row],[Ruimte code]],Ruimtegroepen[#All],2,FALSE)</f>
        <v>Gymzaal</v>
      </c>
      <c r="L588" s="187" t="s">
        <v>109</v>
      </c>
      <c r="M588" s="187" t="s">
        <v>1208</v>
      </c>
      <c r="N588" s="200">
        <v>254</v>
      </c>
      <c r="O588" s="200"/>
      <c r="P588" s="231" t="str">
        <f>VLOOKUP(Ruimtestaat[[#This Row],[Ruimte code]],Ruimtegroepen[#All],4,FALSE)</f>
        <v>Sp  (Sportruimte)</v>
      </c>
      <c r="Q588" s="201"/>
      <c r="R588" s="202">
        <v>42</v>
      </c>
      <c r="S588" s="202" t="s">
        <v>2</v>
      </c>
      <c r="T588" s="202">
        <f>IF(R588&gt;0,IF(RIGHT(Ruimtestaat[[#This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88" s="202">
        <f>IF(T588&gt;0,VLOOKUP($J588,Ruimtegroepen[],3,FALSE)*VLOOKUP($L588,Vloersoorten[],3,FALSE)*VLOOKUP($S588,Frequenties[],3,FALSE)*VLOOKUP($A588,Locaties[],3,FALSE),0)</f>
        <v>0</v>
      </c>
      <c r="V588" s="202">
        <f>Ruimtestaat[[#This Row],[Uitvoeringen werkdagen]]*Ruimtestaat[[#This Row],[Oppervlak (netto)]]</f>
        <v>53340</v>
      </c>
      <c r="W588" s="242">
        <f>IF(U588&gt;0,Ruimtestaat[[#This Row],[Prest. (m2 /jaar) werkdagen]]/Ruimtestaat[[#This Row],[Norm (m2/uur) werkdagen]],0)</f>
        <v>0</v>
      </c>
      <c r="X588" s="243">
        <f>Ruimtestaat[[#This Row],[uren / jaar werkdagen]]*Tariefsopbouw!$D$38</f>
        <v>0</v>
      </c>
      <c r="Y588" s="33"/>
      <c r="Z588" s="33">
        <f>IF(Ruimtestaat[[#This Row],[Frequentie weekend]]&gt;0,VALUE(LEFT(Y588,1))*R588,0)</f>
        <v>0</v>
      </c>
      <c r="AA588" s="33">
        <f>IF($Z588&gt;0,VLOOKUP($J588,Ruimtegroepen[],3,FALSE)*VLOOKUP($L588,Vloersoorten[],3,FALSE)*VLOOKUP($Y588,Frequenties[],3,FALSE)*VLOOKUP(#REF!,Locaties[],3,FALSE),0)</f>
        <v>0</v>
      </c>
      <c r="AB588" s="33"/>
      <c r="AC588" s="33"/>
      <c r="AD588" s="33">
        <f>Ruimtestaat[[#This Row],[uren / jaar weekend]]*Tariefsopbouw!$D$40</f>
        <v>0</v>
      </c>
      <c r="AE588" s="86">
        <f>Ruimtestaat[[#This Row],[Prest. (m2 /jaar) weekend]]+Ruimtestaat[[#This Row],[Prest. (m2 /jaar) werkdagen]]</f>
        <v>53340</v>
      </c>
      <c r="AF588" s="86">
        <f>Ruimtestaat[[#This Row],[uren / jaar weekend]]+Ruimtestaat[[#This Row],[uren / jaar werkdagen]]</f>
        <v>0</v>
      </c>
      <c r="AG588" s="87">
        <f>Ruimtestaat[[#This Row],[kosten / jaar weekend]]+Ruimtestaat[[#This Row],[kosten / jaar werkdagen]]</f>
        <v>0</v>
      </c>
    </row>
    <row r="589" spans="1:33" ht="15" customHeight="1">
      <c r="A589" s="187">
        <v>5</v>
      </c>
      <c r="B589" s="21" t="str">
        <f>VLOOKUP(Ruimtestaat[[#This Row],[Code]],Locaties[#All],2,FALSE)</f>
        <v>Potskamp</v>
      </c>
      <c r="C589" s="231" t="str">
        <f>VLOOKUP(Ruimtestaat[[#This Row],[Code]],Locaties[#All],4,FALSE)</f>
        <v>Potskampstraat 2</v>
      </c>
      <c r="D589" s="231" t="str">
        <f>VLOOKUP(Ruimtestaat[[#This Row],[Code]],Locaties[#All],5,FALSE)</f>
        <v>7573 CC</v>
      </c>
      <c r="E589" s="187" t="str">
        <f>VLOOKUP(Ruimtestaat[[#This Row],[Code]],Locaties[#All],6,FALSE)</f>
        <v>Oldenzaal</v>
      </c>
      <c r="F589" s="232"/>
      <c r="G589" s="187" t="s">
        <v>679</v>
      </c>
      <c r="H589" s="187"/>
      <c r="I589" s="232" t="s">
        <v>372</v>
      </c>
      <c r="J589" s="187">
        <v>6</v>
      </c>
      <c r="K589" s="187" t="str">
        <f>VLOOKUP(Ruimtestaat[[#This Row],[Ruimte code]],Ruimtegroepen[#All],2,FALSE)</f>
        <v>Gangen/hallen</v>
      </c>
      <c r="L589" s="202" t="s">
        <v>108</v>
      </c>
      <c r="M589" s="187" t="s">
        <v>1211</v>
      </c>
      <c r="N589" s="200">
        <v>36</v>
      </c>
      <c r="O589" s="200"/>
      <c r="P589" s="231" t="str">
        <f>VLOOKUP(Ruimtestaat[[#This Row],[Ruimte code]],Ruimtegroepen[#All],4,FALSE)</f>
        <v>V  (Verkeersruimte)</v>
      </c>
      <c r="Q589" s="201"/>
      <c r="R589" s="202">
        <v>42</v>
      </c>
      <c r="S589" s="202" t="s">
        <v>2</v>
      </c>
      <c r="T589" s="202">
        <f>IF(R589&gt;0,IF(RIGHT(Ruimtestaat[[#This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89" s="202">
        <f>IF(T589&gt;0,VLOOKUP($J589,Ruimtegroepen[],3,FALSE)*VLOOKUP($L589,Vloersoorten[],3,FALSE)*VLOOKUP($S589,Frequenties[],3,FALSE)*VLOOKUP($A589,Locaties[],3,FALSE),0)</f>
        <v>0</v>
      </c>
      <c r="V589" s="202">
        <f>Ruimtestaat[[#This Row],[Uitvoeringen werkdagen]]*Ruimtestaat[[#This Row],[Oppervlak (netto)]]</f>
        <v>7560</v>
      </c>
      <c r="W589" s="242">
        <f>IF(U589&gt;0,Ruimtestaat[[#This Row],[Prest. (m2 /jaar) werkdagen]]/Ruimtestaat[[#This Row],[Norm (m2/uur) werkdagen]],0)</f>
        <v>0</v>
      </c>
      <c r="X589" s="243">
        <f>Ruimtestaat[[#This Row],[uren / jaar werkdagen]]*Tariefsopbouw!$D$38</f>
        <v>0</v>
      </c>
      <c r="Y589" s="33"/>
      <c r="Z589" s="33">
        <f>IF(Ruimtestaat[[#This Row],[Frequentie weekend]]&gt;0,VALUE(LEFT(Y589,1))*R589,0)</f>
        <v>0</v>
      </c>
      <c r="AA589" s="33">
        <f>IF($Z589&gt;0,VLOOKUP($J589,Ruimtegroepen[],3,FALSE)*VLOOKUP($L589,Vloersoorten[],3,FALSE)*VLOOKUP($Y589,Frequenties[],3,FALSE)*VLOOKUP(#REF!,Locaties[],3,FALSE),0)</f>
        <v>0</v>
      </c>
      <c r="AB589" s="33"/>
      <c r="AC589" s="33"/>
      <c r="AD589" s="33">
        <f>Ruimtestaat[[#This Row],[uren / jaar weekend]]*Tariefsopbouw!$D$40</f>
        <v>0</v>
      </c>
      <c r="AE589" s="86">
        <f>Ruimtestaat[[#This Row],[Prest. (m2 /jaar) weekend]]+Ruimtestaat[[#This Row],[Prest. (m2 /jaar) werkdagen]]</f>
        <v>7560</v>
      </c>
      <c r="AF589" s="86">
        <f>Ruimtestaat[[#This Row],[uren / jaar weekend]]+Ruimtestaat[[#This Row],[uren / jaar werkdagen]]</f>
        <v>0</v>
      </c>
      <c r="AG589" s="87">
        <f>Ruimtestaat[[#This Row],[kosten / jaar weekend]]+Ruimtestaat[[#This Row],[kosten / jaar werkdagen]]</f>
        <v>0</v>
      </c>
    </row>
    <row r="590" spans="1:33" ht="15" customHeight="1">
      <c r="A590" s="187">
        <v>5</v>
      </c>
      <c r="B590" s="21" t="str">
        <f>VLOOKUP(Ruimtestaat[[#This Row],[Code]],Locaties[#All],2,FALSE)</f>
        <v>Potskamp</v>
      </c>
      <c r="C590" s="231" t="str">
        <f>VLOOKUP(Ruimtestaat[[#This Row],[Code]],Locaties[#All],4,FALSE)</f>
        <v>Potskampstraat 2</v>
      </c>
      <c r="D590" s="231" t="str">
        <f>VLOOKUP(Ruimtestaat[[#This Row],[Code]],Locaties[#All],5,FALSE)</f>
        <v>7573 CC</v>
      </c>
      <c r="E590" s="187" t="str">
        <f>VLOOKUP(Ruimtestaat[[#This Row],[Code]],Locaties[#All],6,FALSE)</f>
        <v>Oldenzaal</v>
      </c>
      <c r="F590" s="232"/>
      <c r="G590" s="187" t="s">
        <v>679</v>
      </c>
      <c r="H590" s="187"/>
      <c r="I590" s="232" t="s">
        <v>593</v>
      </c>
      <c r="J590" s="245">
        <v>8</v>
      </c>
      <c r="K590" s="245" t="str">
        <f>VLOOKUP(Ruimtestaat[[#This Row],[Ruimte code]],Ruimtegroepen[#All],2,FALSE)</f>
        <v>Receptie</v>
      </c>
      <c r="L590" s="187" t="s">
        <v>109</v>
      </c>
      <c r="M590" s="187" t="s">
        <v>1203</v>
      </c>
      <c r="N590" s="200">
        <v>32</v>
      </c>
      <c r="O590" s="200"/>
      <c r="P590" s="231" t="str">
        <f>VLOOKUP(Ruimtestaat[[#This Row],[Ruimte code]],Ruimtegroepen[#All],4,FALSE)</f>
        <v>V  (Verkeersruimte)</v>
      </c>
      <c r="Q590" s="201"/>
      <c r="R590" s="202">
        <v>42</v>
      </c>
      <c r="S590" s="202" t="s">
        <v>2</v>
      </c>
      <c r="T590" s="202">
        <f>IF(R590&gt;0,IF(RIGHT(Ruimtestaat[[#This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90" s="202">
        <f>IF(T590&gt;0,VLOOKUP($J590,Ruimtegroepen[],3,FALSE)*VLOOKUP($L590,Vloersoorten[],3,FALSE)*VLOOKUP($S590,Frequenties[],3,FALSE)*VLOOKUP($A590,Locaties[],3,FALSE),0)</f>
        <v>0</v>
      </c>
      <c r="V590" s="202">
        <f>Ruimtestaat[[#This Row],[Uitvoeringen werkdagen]]*Ruimtestaat[[#This Row],[Oppervlak (netto)]]</f>
        <v>6720</v>
      </c>
      <c r="W590" s="242">
        <f>IF(U590&gt;0,Ruimtestaat[[#This Row],[Prest. (m2 /jaar) werkdagen]]/Ruimtestaat[[#This Row],[Norm (m2/uur) werkdagen]],0)</f>
        <v>0</v>
      </c>
      <c r="X590" s="243">
        <f>Ruimtestaat[[#This Row],[uren / jaar werkdagen]]*Tariefsopbouw!$D$38</f>
        <v>0</v>
      </c>
      <c r="Y590" s="33"/>
      <c r="Z590" s="33">
        <f>IF(Ruimtestaat[[#This Row],[Frequentie weekend]]&gt;0,VALUE(LEFT(Y590,1))*R590,0)</f>
        <v>0</v>
      </c>
      <c r="AA590" s="33">
        <f>IF($Z590&gt;0,VLOOKUP($J590,Ruimtegroepen[],3,FALSE)*VLOOKUP($L590,Vloersoorten[],3,FALSE)*VLOOKUP($Y590,Frequenties[],3,FALSE)*VLOOKUP(#REF!,Locaties[],3,FALSE),0)</f>
        <v>0</v>
      </c>
      <c r="AB590" s="33"/>
      <c r="AC590" s="33"/>
      <c r="AD590" s="33">
        <f>Ruimtestaat[[#This Row],[uren / jaar weekend]]*Tariefsopbouw!$D$40</f>
        <v>0</v>
      </c>
      <c r="AE590" s="86">
        <f>Ruimtestaat[[#This Row],[Prest. (m2 /jaar) weekend]]+Ruimtestaat[[#This Row],[Prest. (m2 /jaar) werkdagen]]</f>
        <v>6720</v>
      </c>
      <c r="AF590" s="86">
        <f>Ruimtestaat[[#This Row],[uren / jaar weekend]]+Ruimtestaat[[#This Row],[uren / jaar werkdagen]]</f>
        <v>0</v>
      </c>
      <c r="AG590" s="87">
        <f>Ruimtestaat[[#This Row],[kosten / jaar weekend]]+Ruimtestaat[[#This Row],[kosten / jaar werkdagen]]</f>
        <v>0</v>
      </c>
    </row>
    <row r="591" spans="1:33" ht="15" customHeight="1">
      <c r="A591" s="187">
        <v>5</v>
      </c>
      <c r="B591" s="21" t="str">
        <f>VLOOKUP(Ruimtestaat[[#This Row],[Code]],Locaties[#All],2,FALSE)</f>
        <v>Potskamp</v>
      </c>
      <c r="C591" s="231" t="str">
        <f>VLOOKUP(Ruimtestaat[[#This Row],[Code]],Locaties[#All],4,FALSE)</f>
        <v>Potskampstraat 2</v>
      </c>
      <c r="D591" s="231" t="str">
        <f>VLOOKUP(Ruimtestaat[[#This Row],[Code]],Locaties[#All],5,FALSE)</f>
        <v>7573 CC</v>
      </c>
      <c r="E591" s="187" t="str">
        <f>VLOOKUP(Ruimtestaat[[#This Row],[Code]],Locaties[#All],6,FALSE)</f>
        <v>Oldenzaal</v>
      </c>
      <c r="F591" s="232"/>
      <c r="G591" s="187" t="s">
        <v>679</v>
      </c>
      <c r="H591" s="187"/>
      <c r="I591" s="232" t="s">
        <v>596</v>
      </c>
      <c r="J591" s="187">
        <v>10</v>
      </c>
      <c r="K591" s="187" t="str">
        <f>VLOOKUP(Ruimtestaat[[#This Row],[Ruimte code]],Ruimtegroepen[#All],2,FALSE)</f>
        <v>Trappenhuizen/lift</v>
      </c>
      <c r="L591" s="202" t="s">
        <v>108</v>
      </c>
      <c r="M591" s="187" t="s">
        <v>1202</v>
      </c>
      <c r="N591" s="200">
        <v>14</v>
      </c>
      <c r="O591" s="200"/>
      <c r="P591" s="231" t="str">
        <f>VLOOKUP(Ruimtestaat[[#This Row],[Ruimte code]],Ruimtegroepen[#All],4,FALSE)</f>
        <v>V  (Verkeersruimte)</v>
      </c>
      <c r="Q591" s="201"/>
      <c r="R591" s="202">
        <v>42</v>
      </c>
      <c r="S591" s="202" t="s">
        <v>2</v>
      </c>
      <c r="T591" s="202">
        <f>IF(R591&gt;0,IF(RIGHT(Ruimtestaat[[#This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91" s="202">
        <f>IF(T591&gt;0,VLOOKUP($J591,Ruimtegroepen[],3,FALSE)*VLOOKUP($L591,Vloersoorten[],3,FALSE)*VLOOKUP($S591,Frequenties[],3,FALSE)*VLOOKUP($A591,Locaties[],3,FALSE),0)</f>
        <v>0</v>
      </c>
      <c r="V591" s="202">
        <f>Ruimtestaat[[#This Row],[Uitvoeringen werkdagen]]*Ruimtestaat[[#This Row],[Oppervlak (netto)]]</f>
        <v>2940</v>
      </c>
      <c r="W591" s="242">
        <f>IF(U591&gt;0,Ruimtestaat[[#This Row],[Prest. (m2 /jaar) werkdagen]]/Ruimtestaat[[#This Row],[Norm (m2/uur) werkdagen]],0)</f>
        <v>0</v>
      </c>
      <c r="X591" s="243">
        <f>Ruimtestaat[[#This Row],[uren / jaar werkdagen]]*Tariefsopbouw!$D$38</f>
        <v>0</v>
      </c>
      <c r="Y591" s="33"/>
      <c r="Z591" s="33">
        <f>IF(Ruimtestaat[[#This Row],[Frequentie weekend]]&gt;0,VALUE(LEFT(Y591,1))*R591,0)</f>
        <v>0</v>
      </c>
      <c r="AA591" s="33">
        <f>IF($Z591&gt;0,VLOOKUP($J591,Ruimtegroepen[],3,FALSE)*VLOOKUP($L591,Vloersoorten[],3,FALSE)*VLOOKUP($Y591,Frequenties[],3,FALSE)*VLOOKUP(#REF!,Locaties[],3,FALSE),0)</f>
        <v>0</v>
      </c>
      <c r="AB591" s="33"/>
      <c r="AC591" s="33"/>
      <c r="AD591" s="33">
        <f>Ruimtestaat[[#This Row],[uren / jaar weekend]]*Tariefsopbouw!$D$40</f>
        <v>0</v>
      </c>
      <c r="AE591" s="86">
        <f>Ruimtestaat[[#This Row],[Prest. (m2 /jaar) weekend]]+Ruimtestaat[[#This Row],[Prest. (m2 /jaar) werkdagen]]</f>
        <v>2940</v>
      </c>
      <c r="AF591" s="86">
        <f>Ruimtestaat[[#This Row],[uren / jaar weekend]]+Ruimtestaat[[#This Row],[uren / jaar werkdagen]]</f>
        <v>0</v>
      </c>
      <c r="AG591" s="87">
        <f>Ruimtestaat[[#This Row],[kosten / jaar weekend]]+Ruimtestaat[[#This Row],[kosten / jaar werkdagen]]</f>
        <v>0</v>
      </c>
    </row>
    <row r="592" spans="1:33" ht="15" customHeight="1">
      <c r="A592" s="187">
        <v>5</v>
      </c>
      <c r="B592" s="21" t="str">
        <f>VLOOKUP(Ruimtestaat[[#This Row],[Code]],Locaties[#All],2,FALSE)</f>
        <v>Potskamp</v>
      </c>
      <c r="C592" s="231" t="str">
        <f>VLOOKUP(Ruimtestaat[[#This Row],[Code]],Locaties[#All],4,FALSE)</f>
        <v>Potskampstraat 2</v>
      </c>
      <c r="D592" s="231" t="str">
        <f>VLOOKUP(Ruimtestaat[[#This Row],[Code]],Locaties[#All],5,FALSE)</f>
        <v>7573 CC</v>
      </c>
      <c r="E592" s="187" t="str">
        <f>VLOOKUP(Ruimtestaat[[#This Row],[Code]],Locaties[#All],6,FALSE)</f>
        <v>Oldenzaal</v>
      </c>
      <c r="F592" s="232"/>
      <c r="G592" s="187" t="s">
        <v>679</v>
      </c>
      <c r="H592" s="187"/>
      <c r="I592" s="232" t="s">
        <v>606</v>
      </c>
      <c r="J592" s="187">
        <v>6</v>
      </c>
      <c r="K592" s="187" t="str">
        <f>VLOOKUP(Ruimtestaat[[#This Row],[Ruimte code]],Ruimtegroepen[#All],2,FALSE)</f>
        <v>Gangen/hallen</v>
      </c>
      <c r="L592" s="202" t="s">
        <v>108</v>
      </c>
      <c r="M592" s="187" t="s">
        <v>1211</v>
      </c>
      <c r="N592" s="200">
        <v>116</v>
      </c>
      <c r="O592" s="200"/>
      <c r="P592" s="231" t="str">
        <f>VLOOKUP(Ruimtestaat[[#This Row],[Ruimte code]],Ruimtegroepen[#All],4,FALSE)</f>
        <v>V  (Verkeersruimte)</v>
      </c>
      <c r="Q592" s="201"/>
      <c r="R592" s="202">
        <v>42</v>
      </c>
      <c r="S592" s="202" t="s">
        <v>2</v>
      </c>
      <c r="T592" s="202">
        <f>IF(R592&gt;0,IF(RIGHT(Ruimtestaat[[#This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92" s="202">
        <f>IF(T592&gt;0,VLOOKUP($J592,Ruimtegroepen[],3,FALSE)*VLOOKUP($L592,Vloersoorten[],3,FALSE)*VLOOKUP($S592,Frequenties[],3,FALSE)*VLOOKUP($A592,Locaties[],3,FALSE),0)</f>
        <v>0</v>
      </c>
      <c r="V592" s="202">
        <f>Ruimtestaat[[#This Row],[Uitvoeringen werkdagen]]*Ruimtestaat[[#This Row],[Oppervlak (netto)]]</f>
        <v>24360</v>
      </c>
      <c r="W592" s="242">
        <f>IF(U592&gt;0,Ruimtestaat[[#This Row],[Prest. (m2 /jaar) werkdagen]]/Ruimtestaat[[#This Row],[Norm (m2/uur) werkdagen]],0)</f>
        <v>0</v>
      </c>
      <c r="X592" s="243">
        <f>Ruimtestaat[[#This Row],[uren / jaar werkdagen]]*Tariefsopbouw!$D$38</f>
        <v>0</v>
      </c>
      <c r="Y592" s="33"/>
      <c r="Z592" s="33">
        <f>IF(Ruimtestaat[[#This Row],[Frequentie weekend]]&gt;0,VALUE(LEFT(Y592,1))*R592,0)</f>
        <v>0</v>
      </c>
      <c r="AA592" s="33">
        <f>IF($Z592&gt;0,VLOOKUP($J592,Ruimtegroepen[],3,FALSE)*VLOOKUP($L592,Vloersoorten[],3,FALSE)*VLOOKUP($Y592,Frequenties[],3,FALSE)*VLOOKUP(#REF!,Locaties[],3,FALSE),0)</f>
        <v>0</v>
      </c>
      <c r="AB592" s="33"/>
      <c r="AC592" s="33"/>
      <c r="AD592" s="33">
        <f>Ruimtestaat[[#This Row],[uren / jaar weekend]]*Tariefsopbouw!$D$40</f>
        <v>0</v>
      </c>
      <c r="AE592" s="86">
        <f>Ruimtestaat[[#This Row],[Prest. (m2 /jaar) weekend]]+Ruimtestaat[[#This Row],[Prest. (m2 /jaar) werkdagen]]</f>
        <v>24360</v>
      </c>
      <c r="AF592" s="86">
        <f>Ruimtestaat[[#This Row],[uren / jaar weekend]]+Ruimtestaat[[#This Row],[uren / jaar werkdagen]]</f>
        <v>0</v>
      </c>
      <c r="AG592" s="87">
        <f>Ruimtestaat[[#This Row],[kosten / jaar weekend]]+Ruimtestaat[[#This Row],[kosten / jaar werkdagen]]</f>
        <v>0</v>
      </c>
    </row>
    <row r="593" spans="1:33" ht="15" customHeight="1">
      <c r="A593" s="187">
        <v>5</v>
      </c>
      <c r="B593" s="21" t="str">
        <f>VLOOKUP(Ruimtestaat[[#This Row],[Code]],Locaties[#All],2,FALSE)</f>
        <v>Potskamp</v>
      </c>
      <c r="C593" s="231" t="str">
        <f>VLOOKUP(Ruimtestaat[[#This Row],[Code]],Locaties[#All],4,FALSE)</f>
        <v>Potskampstraat 2</v>
      </c>
      <c r="D593" s="231" t="str">
        <f>VLOOKUP(Ruimtestaat[[#This Row],[Code]],Locaties[#All],5,FALSE)</f>
        <v>7573 CC</v>
      </c>
      <c r="E593" s="187" t="str">
        <f>VLOOKUP(Ruimtestaat[[#This Row],[Code]],Locaties[#All],6,FALSE)</f>
        <v>Oldenzaal</v>
      </c>
      <c r="F593" s="232"/>
      <c r="G593" s="187" t="s">
        <v>679</v>
      </c>
      <c r="H593" s="187"/>
      <c r="I593" s="232" t="s">
        <v>774</v>
      </c>
      <c r="J593" s="187">
        <v>7</v>
      </c>
      <c r="K593" s="187" t="str">
        <f>VLOOKUP(Ruimtestaat[[#This Row],[Ruimte code]],Ruimtegroepen[#All],2,FALSE)</f>
        <v>Entree / buitenentree</v>
      </c>
      <c r="L593" s="231" t="s">
        <v>1204</v>
      </c>
      <c r="M593" s="187" t="s">
        <v>1205</v>
      </c>
      <c r="N593" s="200">
        <v>4</v>
      </c>
      <c r="O593" s="200"/>
      <c r="P593" s="231" t="str">
        <f>VLOOKUP(Ruimtestaat[[#This Row],[Ruimte code]],Ruimtegroepen[#All],4,FALSE)</f>
        <v>V  (Verkeersruimte)</v>
      </c>
      <c r="Q593" s="201"/>
      <c r="R593" s="202">
        <v>42</v>
      </c>
      <c r="S593" s="202" t="s">
        <v>2</v>
      </c>
      <c r="T593" s="202">
        <f>IF(R593&gt;0,IF(RIGHT(Ruimtestaat[[#This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93" s="202">
        <f>IF(T593&gt;0,VLOOKUP($J593,Ruimtegroepen[],3,FALSE)*VLOOKUP($L593,Vloersoorten[],3,FALSE)*VLOOKUP($S593,Frequenties[],3,FALSE)*VLOOKUP($A593,Locaties[],3,FALSE),0)</f>
        <v>0</v>
      </c>
      <c r="V593" s="202">
        <f>Ruimtestaat[[#This Row],[Uitvoeringen werkdagen]]*Ruimtestaat[[#This Row],[Oppervlak (netto)]]</f>
        <v>840</v>
      </c>
      <c r="W593" s="242">
        <f>IF(U593&gt;0,Ruimtestaat[[#This Row],[Prest. (m2 /jaar) werkdagen]]/Ruimtestaat[[#This Row],[Norm (m2/uur) werkdagen]],0)</f>
        <v>0</v>
      </c>
      <c r="X593" s="243">
        <f>Ruimtestaat[[#This Row],[uren / jaar werkdagen]]*Tariefsopbouw!$D$38</f>
        <v>0</v>
      </c>
      <c r="Y593" s="33"/>
      <c r="Z593" s="33">
        <f>IF(Ruimtestaat[[#This Row],[Frequentie weekend]]&gt;0,VALUE(LEFT(Y593,1))*R593,0)</f>
        <v>0</v>
      </c>
      <c r="AA593" s="33">
        <f>IF($Z593&gt;0,VLOOKUP($J593,Ruimtegroepen[],3,FALSE)*VLOOKUP($L593,Vloersoorten[],3,FALSE)*VLOOKUP($Y593,Frequenties[],3,FALSE)*VLOOKUP(#REF!,Locaties[],3,FALSE),0)</f>
        <v>0</v>
      </c>
      <c r="AB593" s="33"/>
      <c r="AC593" s="33"/>
      <c r="AD593" s="33">
        <f>Ruimtestaat[[#This Row],[uren / jaar weekend]]*Tariefsopbouw!$D$40</f>
        <v>0</v>
      </c>
      <c r="AE593" s="86">
        <f>Ruimtestaat[[#This Row],[Prest. (m2 /jaar) weekend]]+Ruimtestaat[[#This Row],[Prest. (m2 /jaar) werkdagen]]</f>
        <v>840</v>
      </c>
      <c r="AF593" s="86">
        <f>Ruimtestaat[[#This Row],[uren / jaar weekend]]+Ruimtestaat[[#This Row],[uren / jaar werkdagen]]</f>
        <v>0</v>
      </c>
      <c r="AG593" s="87">
        <f>Ruimtestaat[[#This Row],[kosten / jaar weekend]]+Ruimtestaat[[#This Row],[kosten / jaar werkdagen]]</f>
        <v>0</v>
      </c>
    </row>
    <row r="594" spans="1:33" ht="15" customHeight="1">
      <c r="A594" s="187">
        <v>5</v>
      </c>
      <c r="B594" s="21" t="str">
        <f>VLOOKUP(Ruimtestaat[[#This Row],[Code]],Locaties[#All],2,FALSE)</f>
        <v>Potskamp</v>
      </c>
      <c r="C594" s="231" t="str">
        <f>VLOOKUP(Ruimtestaat[[#This Row],[Code]],Locaties[#All],4,FALSE)</f>
        <v>Potskampstraat 2</v>
      </c>
      <c r="D594" s="231" t="str">
        <f>VLOOKUP(Ruimtestaat[[#This Row],[Code]],Locaties[#All],5,FALSE)</f>
        <v>7573 CC</v>
      </c>
      <c r="E594" s="187" t="str">
        <f>VLOOKUP(Ruimtestaat[[#This Row],[Code]],Locaties[#All],6,FALSE)</f>
        <v>Oldenzaal</v>
      </c>
      <c r="F594" s="232"/>
      <c r="G594" s="187" t="s">
        <v>679</v>
      </c>
      <c r="H594" s="187">
        <v>101</v>
      </c>
      <c r="I594" s="232" t="s">
        <v>557</v>
      </c>
      <c r="J594" s="187">
        <v>2</v>
      </c>
      <c r="K594" s="187" t="str">
        <f>VLOOKUP(Ruimtestaat[[#This Row],[Ruimte code]],Ruimtegroepen[#All],2,FALSE)</f>
        <v>Kantoren/kantoortuin</v>
      </c>
      <c r="L594" s="231" t="s">
        <v>1204</v>
      </c>
      <c r="M594" s="187" t="s">
        <v>1205</v>
      </c>
      <c r="N594" s="200">
        <v>22</v>
      </c>
      <c r="O594" s="200"/>
      <c r="P594" s="231" t="str">
        <f>VLOOKUP(Ruimtestaat[[#This Row],[Ruimte code]],Ruimtegroepen[#All],4,FALSE)</f>
        <v>B  (Bureauruimte)</v>
      </c>
      <c r="Q594" s="201"/>
      <c r="R594" s="202">
        <v>42</v>
      </c>
      <c r="S594" s="202" t="s">
        <v>2</v>
      </c>
      <c r="T594" s="202">
        <f>IF(R594&gt;0,IF(RIGHT(Ruimtestaat[[#This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94" s="202">
        <f>IF(T594&gt;0,VLOOKUP($J594,Ruimtegroepen[],3,FALSE)*VLOOKUP($L594,Vloersoorten[],3,FALSE)*VLOOKUP($S594,Frequenties[],3,FALSE)*VLOOKUP($A594,Locaties[],3,FALSE),0)</f>
        <v>0</v>
      </c>
      <c r="V594" s="202">
        <f>Ruimtestaat[[#This Row],[Uitvoeringen werkdagen]]*Ruimtestaat[[#This Row],[Oppervlak (netto)]]</f>
        <v>4620</v>
      </c>
      <c r="W594" s="242">
        <f>IF(U594&gt;0,Ruimtestaat[[#This Row],[Prest. (m2 /jaar) werkdagen]]/Ruimtestaat[[#This Row],[Norm (m2/uur) werkdagen]],0)</f>
        <v>0</v>
      </c>
      <c r="X594" s="243">
        <f>Ruimtestaat[[#This Row],[uren / jaar werkdagen]]*Tariefsopbouw!$D$38</f>
        <v>0</v>
      </c>
      <c r="Y594" s="33"/>
      <c r="Z594" s="33">
        <f>IF(Ruimtestaat[[#This Row],[Frequentie weekend]]&gt;0,VALUE(LEFT(Y594,1))*R594,0)</f>
        <v>0</v>
      </c>
      <c r="AA594" s="33">
        <f>IF($Z594&gt;0,VLOOKUP($J594,Ruimtegroepen[],3,FALSE)*VLOOKUP($L594,Vloersoorten[],3,FALSE)*VLOOKUP($Y594,Frequenties[],3,FALSE)*VLOOKUP(#REF!,Locaties[],3,FALSE),0)</f>
        <v>0</v>
      </c>
      <c r="AB594" s="33"/>
      <c r="AC594" s="33"/>
      <c r="AD594" s="33">
        <f>Ruimtestaat[[#This Row],[uren / jaar weekend]]*Tariefsopbouw!$D$40</f>
        <v>0</v>
      </c>
      <c r="AE594" s="86">
        <f>Ruimtestaat[[#This Row],[Prest. (m2 /jaar) weekend]]+Ruimtestaat[[#This Row],[Prest. (m2 /jaar) werkdagen]]</f>
        <v>4620</v>
      </c>
      <c r="AF594" s="86">
        <f>Ruimtestaat[[#This Row],[uren / jaar weekend]]+Ruimtestaat[[#This Row],[uren / jaar werkdagen]]</f>
        <v>0</v>
      </c>
      <c r="AG594" s="87">
        <f>Ruimtestaat[[#This Row],[kosten / jaar weekend]]+Ruimtestaat[[#This Row],[kosten / jaar werkdagen]]</f>
        <v>0</v>
      </c>
    </row>
    <row r="595" spans="1:33" ht="15" customHeight="1">
      <c r="A595" s="187">
        <v>5</v>
      </c>
      <c r="B595" s="21" t="str">
        <f>VLOOKUP(Ruimtestaat[[#This Row],[Code]],Locaties[#All],2,FALSE)</f>
        <v>Potskamp</v>
      </c>
      <c r="C595" s="231" t="str">
        <f>VLOOKUP(Ruimtestaat[[#This Row],[Code]],Locaties[#All],4,FALSE)</f>
        <v>Potskampstraat 2</v>
      </c>
      <c r="D595" s="231" t="str">
        <f>VLOOKUP(Ruimtestaat[[#This Row],[Code]],Locaties[#All],5,FALSE)</f>
        <v>7573 CC</v>
      </c>
      <c r="E595" s="187" t="str">
        <f>VLOOKUP(Ruimtestaat[[#This Row],[Code]],Locaties[#All],6,FALSE)</f>
        <v>Oldenzaal</v>
      </c>
      <c r="F595" s="232"/>
      <c r="G595" s="187" t="s">
        <v>679</v>
      </c>
      <c r="H595" s="187">
        <v>103</v>
      </c>
      <c r="I595" s="232" t="s">
        <v>775</v>
      </c>
      <c r="J595" s="187">
        <v>4</v>
      </c>
      <c r="K595" s="187" t="str">
        <f>VLOOKUP(Ruimtestaat[[#This Row],[Ruimte code]],Ruimtegroepen[#All],2,FALSE)</f>
        <v>Vergader/spreekkamers</v>
      </c>
      <c r="L595" s="231" t="s">
        <v>1204</v>
      </c>
      <c r="M595" s="187" t="s">
        <v>1205</v>
      </c>
      <c r="N595" s="200">
        <v>46</v>
      </c>
      <c r="O595" s="200"/>
      <c r="P595" s="231" t="str">
        <f>VLOOKUP(Ruimtestaat[[#This Row],[Ruimte code]],Ruimtegroepen[#All],4,FALSE)</f>
        <v>B  (Bureauruimte)</v>
      </c>
      <c r="Q595" s="201"/>
      <c r="R595" s="202">
        <v>42</v>
      </c>
      <c r="S595" s="202" t="s">
        <v>2</v>
      </c>
      <c r="T595" s="202">
        <f>IF(R595&gt;0,IF(RIGHT(Ruimtestaat[[#This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95" s="202">
        <f>IF(T595&gt;0,VLOOKUP($J595,Ruimtegroepen[],3,FALSE)*VLOOKUP($L595,Vloersoorten[],3,FALSE)*VLOOKUP($S595,Frequenties[],3,FALSE)*VLOOKUP($A595,Locaties[],3,FALSE),0)</f>
        <v>0</v>
      </c>
      <c r="V595" s="202">
        <f>Ruimtestaat[[#This Row],[Uitvoeringen werkdagen]]*Ruimtestaat[[#This Row],[Oppervlak (netto)]]</f>
        <v>9660</v>
      </c>
      <c r="W595" s="242">
        <f>IF(U595&gt;0,Ruimtestaat[[#This Row],[Prest. (m2 /jaar) werkdagen]]/Ruimtestaat[[#This Row],[Norm (m2/uur) werkdagen]],0)</f>
        <v>0</v>
      </c>
      <c r="X595" s="243">
        <f>Ruimtestaat[[#This Row],[uren / jaar werkdagen]]*Tariefsopbouw!$D$38</f>
        <v>0</v>
      </c>
      <c r="Y595" s="33"/>
      <c r="Z595" s="33">
        <f>IF(Ruimtestaat[[#This Row],[Frequentie weekend]]&gt;0,VALUE(LEFT(Y595,1))*R595,0)</f>
        <v>0</v>
      </c>
      <c r="AA595" s="33">
        <f>IF($Z595&gt;0,VLOOKUP($J595,Ruimtegroepen[],3,FALSE)*VLOOKUP($L595,Vloersoorten[],3,FALSE)*VLOOKUP($Y595,Frequenties[],3,FALSE)*VLOOKUP(#REF!,Locaties[],3,FALSE),0)</f>
        <v>0</v>
      </c>
      <c r="AB595" s="33"/>
      <c r="AC595" s="33"/>
      <c r="AD595" s="33">
        <f>Ruimtestaat[[#This Row],[uren / jaar weekend]]*Tariefsopbouw!$D$40</f>
        <v>0</v>
      </c>
      <c r="AE595" s="86">
        <f>Ruimtestaat[[#This Row],[Prest. (m2 /jaar) weekend]]+Ruimtestaat[[#This Row],[Prest. (m2 /jaar) werkdagen]]</f>
        <v>9660</v>
      </c>
      <c r="AF595" s="86">
        <f>Ruimtestaat[[#This Row],[uren / jaar weekend]]+Ruimtestaat[[#This Row],[uren / jaar werkdagen]]</f>
        <v>0</v>
      </c>
      <c r="AG595" s="87">
        <f>Ruimtestaat[[#This Row],[kosten / jaar weekend]]+Ruimtestaat[[#This Row],[kosten / jaar werkdagen]]</f>
        <v>0</v>
      </c>
    </row>
    <row r="596" spans="1:33" ht="15" customHeight="1">
      <c r="A596" s="187">
        <v>5</v>
      </c>
      <c r="B596" s="21" t="str">
        <f>VLOOKUP(Ruimtestaat[[#This Row],[Code]],Locaties[#All],2,FALSE)</f>
        <v>Potskamp</v>
      </c>
      <c r="C596" s="231" t="str">
        <f>VLOOKUP(Ruimtestaat[[#This Row],[Code]],Locaties[#All],4,FALSE)</f>
        <v>Potskampstraat 2</v>
      </c>
      <c r="D596" s="231" t="str">
        <f>VLOOKUP(Ruimtestaat[[#This Row],[Code]],Locaties[#All],5,FALSE)</f>
        <v>7573 CC</v>
      </c>
      <c r="E596" s="187" t="str">
        <f>VLOOKUP(Ruimtestaat[[#This Row],[Code]],Locaties[#All],6,FALSE)</f>
        <v>Oldenzaal</v>
      </c>
      <c r="F596" s="232"/>
      <c r="G596" s="187" t="s">
        <v>679</v>
      </c>
      <c r="H596" s="187" t="s">
        <v>776</v>
      </c>
      <c r="I596" s="232" t="s">
        <v>590</v>
      </c>
      <c r="J596" s="187">
        <v>2</v>
      </c>
      <c r="K596" s="187" t="str">
        <f>VLOOKUP(Ruimtestaat[[#This Row],[Ruimte code]],Ruimtegroepen[#All],2,FALSE)</f>
        <v>Kantoren/kantoortuin</v>
      </c>
      <c r="L596" s="231" t="s">
        <v>1204</v>
      </c>
      <c r="M596" s="187" t="s">
        <v>1205</v>
      </c>
      <c r="N596" s="200">
        <v>46</v>
      </c>
      <c r="O596" s="200"/>
      <c r="P596" s="231" t="str">
        <f>VLOOKUP(Ruimtestaat[[#This Row],[Ruimte code]],Ruimtegroepen[#All],4,FALSE)</f>
        <v>B  (Bureauruimte)</v>
      </c>
      <c r="Q596" s="201"/>
      <c r="R596" s="202">
        <v>42</v>
      </c>
      <c r="S596" s="202" t="s">
        <v>2</v>
      </c>
      <c r="T596" s="202">
        <f>IF(R596&gt;0,IF(RIGHT(Ruimtestaat[[#This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96" s="202">
        <f>IF(T596&gt;0,VLOOKUP($J596,Ruimtegroepen[],3,FALSE)*VLOOKUP($L596,Vloersoorten[],3,FALSE)*VLOOKUP($S596,Frequenties[],3,FALSE)*VLOOKUP($A596,Locaties[],3,FALSE),0)</f>
        <v>0</v>
      </c>
      <c r="V596" s="202">
        <f>Ruimtestaat[[#This Row],[Uitvoeringen werkdagen]]*Ruimtestaat[[#This Row],[Oppervlak (netto)]]</f>
        <v>9660</v>
      </c>
      <c r="W596" s="242">
        <f>IF(U596&gt;0,Ruimtestaat[[#This Row],[Prest. (m2 /jaar) werkdagen]]/Ruimtestaat[[#This Row],[Norm (m2/uur) werkdagen]],0)</f>
        <v>0</v>
      </c>
      <c r="X596" s="243">
        <f>Ruimtestaat[[#This Row],[uren / jaar werkdagen]]*Tariefsopbouw!$D$38</f>
        <v>0</v>
      </c>
      <c r="Y596" s="33"/>
      <c r="Z596" s="33">
        <f>IF(Ruimtestaat[[#This Row],[Frequentie weekend]]&gt;0,VALUE(LEFT(Y596,1))*R596,0)</f>
        <v>0</v>
      </c>
      <c r="AA596" s="33">
        <f>IF($Z596&gt;0,VLOOKUP($J596,Ruimtegroepen[],3,FALSE)*VLOOKUP($L596,Vloersoorten[],3,FALSE)*VLOOKUP($Y596,Frequenties[],3,FALSE)*VLOOKUP(#REF!,Locaties[],3,FALSE),0)</f>
        <v>0</v>
      </c>
      <c r="AB596" s="33"/>
      <c r="AC596" s="33"/>
      <c r="AD596" s="33">
        <f>Ruimtestaat[[#This Row],[uren / jaar weekend]]*Tariefsopbouw!$D$40</f>
        <v>0</v>
      </c>
      <c r="AE596" s="86">
        <f>Ruimtestaat[[#This Row],[Prest. (m2 /jaar) weekend]]+Ruimtestaat[[#This Row],[Prest. (m2 /jaar) werkdagen]]</f>
        <v>9660</v>
      </c>
      <c r="AF596" s="86">
        <f>Ruimtestaat[[#This Row],[uren / jaar weekend]]+Ruimtestaat[[#This Row],[uren / jaar werkdagen]]</f>
        <v>0</v>
      </c>
      <c r="AG596" s="87">
        <f>Ruimtestaat[[#This Row],[kosten / jaar weekend]]+Ruimtestaat[[#This Row],[kosten / jaar werkdagen]]</f>
        <v>0</v>
      </c>
    </row>
    <row r="597" spans="1:33" ht="15" customHeight="1">
      <c r="A597" s="187">
        <v>5</v>
      </c>
      <c r="B597" s="21" t="str">
        <f>VLOOKUP(Ruimtestaat[[#This Row],[Code]],Locaties[#All],2,FALSE)</f>
        <v>Potskamp</v>
      </c>
      <c r="C597" s="231" t="str">
        <f>VLOOKUP(Ruimtestaat[[#This Row],[Code]],Locaties[#All],4,FALSE)</f>
        <v>Potskampstraat 2</v>
      </c>
      <c r="D597" s="231" t="str">
        <f>VLOOKUP(Ruimtestaat[[#This Row],[Code]],Locaties[#All],5,FALSE)</f>
        <v>7573 CC</v>
      </c>
      <c r="E597" s="187" t="str">
        <f>VLOOKUP(Ruimtestaat[[#This Row],[Code]],Locaties[#All],6,FALSE)</f>
        <v>Oldenzaal</v>
      </c>
      <c r="F597" s="232"/>
      <c r="G597" s="187" t="s">
        <v>679</v>
      </c>
      <c r="H597" s="187" t="s">
        <v>777</v>
      </c>
      <c r="I597" s="232" t="s">
        <v>590</v>
      </c>
      <c r="J597" s="187">
        <v>2</v>
      </c>
      <c r="K597" s="187" t="str">
        <f>VLOOKUP(Ruimtestaat[[#This Row],[Ruimte code]],Ruimtegroepen[#All],2,FALSE)</f>
        <v>Kantoren/kantoortuin</v>
      </c>
      <c r="L597" s="231" t="s">
        <v>1204</v>
      </c>
      <c r="M597" s="187" t="s">
        <v>1205</v>
      </c>
      <c r="N597" s="200">
        <v>46</v>
      </c>
      <c r="O597" s="200"/>
      <c r="P597" s="231" t="str">
        <f>VLOOKUP(Ruimtestaat[[#This Row],[Ruimte code]],Ruimtegroepen[#All],4,FALSE)</f>
        <v>B  (Bureauruimte)</v>
      </c>
      <c r="Q597" s="201"/>
      <c r="R597" s="202">
        <v>42</v>
      </c>
      <c r="S597" s="202" t="s">
        <v>2</v>
      </c>
      <c r="T597" s="202">
        <f>IF(R597&gt;0,IF(RIGHT(Ruimtestaat[[#This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97" s="202">
        <f>IF(T597&gt;0,VLOOKUP($J597,Ruimtegroepen[],3,FALSE)*VLOOKUP($L597,Vloersoorten[],3,FALSE)*VLOOKUP($S597,Frequenties[],3,FALSE)*VLOOKUP($A597,Locaties[],3,FALSE),0)</f>
        <v>0</v>
      </c>
      <c r="V597" s="202">
        <f>Ruimtestaat[[#This Row],[Uitvoeringen werkdagen]]*Ruimtestaat[[#This Row],[Oppervlak (netto)]]</f>
        <v>9660</v>
      </c>
      <c r="W597" s="242">
        <f>IF(U597&gt;0,Ruimtestaat[[#This Row],[Prest. (m2 /jaar) werkdagen]]/Ruimtestaat[[#This Row],[Norm (m2/uur) werkdagen]],0)</f>
        <v>0</v>
      </c>
      <c r="X597" s="243">
        <f>Ruimtestaat[[#This Row],[uren / jaar werkdagen]]*Tariefsopbouw!$D$38</f>
        <v>0</v>
      </c>
      <c r="Y597" s="33"/>
      <c r="Z597" s="33">
        <f>IF(Ruimtestaat[[#This Row],[Frequentie weekend]]&gt;0,VALUE(LEFT(Y597,1))*R597,0)</f>
        <v>0</v>
      </c>
      <c r="AA597" s="33">
        <f>IF($Z597&gt;0,VLOOKUP($J597,Ruimtegroepen[],3,FALSE)*VLOOKUP($L597,Vloersoorten[],3,FALSE)*VLOOKUP($Y597,Frequenties[],3,FALSE)*VLOOKUP(#REF!,Locaties[],3,FALSE),0)</f>
        <v>0</v>
      </c>
      <c r="AB597" s="33"/>
      <c r="AC597" s="33"/>
      <c r="AD597" s="33">
        <f>Ruimtestaat[[#This Row],[uren / jaar weekend]]*Tariefsopbouw!$D$40</f>
        <v>0</v>
      </c>
      <c r="AE597" s="86">
        <f>Ruimtestaat[[#This Row],[Prest. (m2 /jaar) weekend]]+Ruimtestaat[[#This Row],[Prest. (m2 /jaar) werkdagen]]</f>
        <v>9660</v>
      </c>
      <c r="AF597" s="86">
        <f>Ruimtestaat[[#This Row],[uren / jaar weekend]]+Ruimtestaat[[#This Row],[uren / jaar werkdagen]]</f>
        <v>0</v>
      </c>
      <c r="AG597" s="87">
        <f>Ruimtestaat[[#This Row],[kosten / jaar weekend]]+Ruimtestaat[[#This Row],[kosten / jaar werkdagen]]</f>
        <v>0</v>
      </c>
    </row>
    <row r="598" spans="1:33" ht="15" customHeight="1">
      <c r="A598" s="187">
        <v>5</v>
      </c>
      <c r="B598" s="21" t="str">
        <f>VLOOKUP(Ruimtestaat[[#This Row],[Code]],Locaties[#All],2,FALSE)</f>
        <v>Potskamp</v>
      </c>
      <c r="C598" s="231" t="str">
        <f>VLOOKUP(Ruimtestaat[[#This Row],[Code]],Locaties[#All],4,FALSE)</f>
        <v>Potskampstraat 2</v>
      </c>
      <c r="D598" s="231" t="str">
        <f>VLOOKUP(Ruimtestaat[[#This Row],[Code]],Locaties[#All],5,FALSE)</f>
        <v>7573 CC</v>
      </c>
      <c r="E598" s="187" t="str">
        <f>VLOOKUP(Ruimtestaat[[#This Row],[Code]],Locaties[#All],6,FALSE)</f>
        <v>Oldenzaal</v>
      </c>
      <c r="F598" s="232"/>
      <c r="G598" s="187" t="s">
        <v>679</v>
      </c>
      <c r="H598" s="187"/>
      <c r="I598" s="232" t="s">
        <v>250</v>
      </c>
      <c r="J598" s="187">
        <v>11</v>
      </c>
      <c r="K598" s="187" t="str">
        <f>VLOOKUP(Ruimtestaat[[#This Row],[Ruimte code]],Ruimtegroepen[#All],2,FALSE)</f>
        <v>Garderobes/kluisjesruimte</v>
      </c>
      <c r="L598" s="231" t="s">
        <v>1204</v>
      </c>
      <c r="M598" s="187" t="s">
        <v>1205</v>
      </c>
      <c r="N598" s="200">
        <v>8</v>
      </c>
      <c r="O598" s="200"/>
      <c r="P598" s="231" t="str">
        <f>VLOOKUP(Ruimtestaat[[#This Row],[Ruimte code]],Ruimtegroepen[#All],4,FALSE)</f>
        <v>V  (Verkeersruimte)</v>
      </c>
      <c r="Q598" s="201"/>
      <c r="R598" s="202">
        <v>42</v>
      </c>
      <c r="S598" s="202" t="s">
        <v>2</v>
      </c>
      <c r="T598" s="202">
        <f>IF(R598&gt;0,IF(RIGHT(Ruimtestaat[[#This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98" s="202">
        <f>IF(T598&gt;0,VLOOKUP($J598,Ruimtegroepen[],3,FALSE)*VLOOKUP($L598,Vloersoorten[],3,FALSE)*VLOOKUP($S598,Frequenties[],3,FALSE)*VLOOKUP($A598,Locaties[],3,FALSE),0)</f>
        <v>0</v>
      </c>
      <c r="V598" s="202">
        <f>Ruimtestaat[[#This Row],[Uitvoeringen werkdagen]]*Ruimtestaat[[#This Row],[Oppervlak (netto)]]</f>
        <v>1680</v>
      </c>
      <c r="W598" s="242">
        <f>IF(U598&gt;0,Ruimtestaat[[#This Row],[Prest. (m2 /jaar) werkdagen]]/Ruimtestaat[[#This Row],[Norm (m2/uur) werkdagen]],0)</f>
        <v>0</v>
      </c>
      <c r="X598" s="243">
        <f>Ruimtestaat[[#This Row],[uren / jaar werkdagen]]*Tariefsopbouw!$D$38</f>
        <v>0</v>
      </c>
      <c r="Y598" s="33"/>
      <c r="Z598" s="33">
        <f>IF(Ruimtestaat[[#This Row],[Frequentie weekend]]&gt;0,VALUE(LEFT(Y598,1))*R598,0)</f>
        <v>0</v>
      </c>
      <c r="AA598" s="33">
        <f>IF($Z598&gt;0,VLOOKUP($J598,Ruimtegroepen[],3,FALSE)*VLOOKUP($L598,Vloersoorten[],3,FALSE)*VLOOKUP($Y598,Frequenties[],3,FALSE)*VLOOKUP(#REF!,Locaties[],3,FALSE),0)</f>
        <v>0</v>
      </c>
      <c r="AB598" s="33"/>
      <c r="AC598" s="33"/>
      <c r="AD598" s="33">
        <f>Ruimtestaat[[#This Row],[uren / jaar weekend]]*Tariefsopbouw!$D$40</f>
        <v>0</v>
      </c>
      <c r="AE598" s="86">
        <f>Ruimtestaat[[#This Row],[Prest. (m2 /jaar) weekend]]+Ruimtestaat[[#This Row],[Prest. (m2 /jaar) werkdagen]]</f>
        <v>1680</v>
      </c>
      <c r="AF598" s="86">
        <f>Ruimtestaat[[#This Row],[uren / jaar weekend]]+Ruimtestaat[[#This Row],[uren / jaar werkdagen]]</f>
        <v>0</v>
      </c>
      <c r="AG598" s="87">
        <f>Ruimtestaat[[#This Row],[kosten / jaar weekend]]+Ruimtestaat[[#This Row],[kosten / jaar werkdagen]]</f>
        <v>0</v>
      </c>
    </row>
    <row r="599" spans="1:33" ht="15" customHeight="1">
      <c r="A599" s="187">
        <v>5</v>
      </c>
      <c r="B599" s="21" t="str">
        <f>VLOOKUP(Ruimtestaat[[#This Row],[Code]],Locaties[#All],2,FALSE)</f>
        <v>Potskamp</v>
      </c>
      <c r="C599" s="231" t="str">
        <f>VLOOKUP(Ruimtestaat[[#This Row],[Code]],Locaties[#All],4,FALSE)</f>
        <v>Potskampstraat 2</v>
      </c>
      <c r="D599" s="231" t="str">
        <f>VLOOKUP(Ruimtestaat[[#This Row],[Code]],Locaties[#All],5,FALSE)</f>
        <v>7573 CC</v>
      </c>
      <c r="E599" s="187" t="str">
        <f>VLOOKUP(Ruimtestaat[[#This Row],[Code]],Locaties[#All],6,FALSE)</f>
        <v>Oldenzaal</v>
      </c>
      <c r="F599" s="232"/>
      <c r="G599" s="187" t="s">
        <v>679</v>
      </c>
      <c r="H599" s="187"/>
      <c r="I599" s="232" t="s">
        <v>127</v>
      </c>
      <c r="J599" s="187">
        <v>15</v>
      </c>
      <c r="K599" s="187" t="str">
        <f>VLOOKUP(Ruimtestaat[[#This Row],[Ruimte code]],Ruimtegroepen[#All],2,FALSE)</f>
        <v>Keuken/pantry/rookruimte</v>
      </c>
      <c r="L599" s="231" t="s">
        <v>1204</v>
      </c>
      <c r="M599" s="187" t="s">
        <v>1205</v>
      </c>
      <c r="N599" s="200">
        <v>8</v>
      </c>
      <c r="O599" s="200"/>
      <c r="P599" s="231" t="str">
        <f>VLOOKUP(Ruimtestaat[[#This Row],[Ruimte code]],Ruimtegroepen[#All],4,FALSE)</f>
        <v>V  (Verkeersruimte)</v>
      </c>
      <c r="Q599" s="201"/>
      <c r="R599" s="202">
        <v>42</v>
      </c>
      <c r="S599" s="202" t="s">
        <v>2</v>
      </c>
      <c r="T599" s="202">
        <f>IF(R599&gt;0,IF(RIGHT(Ruimtestaat[[#This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599" s="202">
        <f>IF(T599&gt;0,VLOOKUP($J599,Ruimtegroepen[],3,FALSE)*VLOOKUP($L599,Vloersoorten[],3,FALSE)*VLOOKUP($S599,Frequenties[],3,FALSE)*VLOOKUP($A599,Locaties[],3,FALSE),0)</f>
        <v>0</v>
      </c>
      <c r="V599" s="202">
        <f>Ruimtestaat[[#This Row],[Uitvoeringen werkdagen]]*Ruimtestaat[[#This Row],[Oppervlak (netto)]]</f>
        <v>1680</v>
      </c>
      <c r="W599" s="242">
        <f>IF(U599&gt;0,Ruimtestaat[[#This Row],[Prest. (m2 /jaar) werkdagen]]/Ruimtestaat[[#This Row],[Norm (m2/uur) werkdagen]],0)</f>
        <v>0</v>
      </c>
      <c r="X599" s="243">
        <f>Ruimtestaat[[#This Row],[uren / jaar werkdagen]]*Tariefsopbouw!$D$38</f>
        <v>0</v>
      </c>
      <c r="Y599" s="33"/>
      <c r="Z599" s="33">
        <f>IF(Ruimtestaat[[#This Row],[Frequentie weekend]]&gt;0,VALUE(LEFT(Y599,1))*R599,0)</f>
        <v>0</v>
      </c>
      <c r="AA599" s="33">
        <f>IF($Z599&gt;0,VLOOKUP($J599,Ruimtegroepen[],3,FALSE)*VLOOKUP($L599,Vloersoorten[],3,FALSE)*VLOOKUP($Y599,Frequenties[],3,FALSE)*VLOOKUP(#REF!,Locaties[],3,FALSE),0)</f>
        <v>0</v>
      </c>
      <c r="AB599" s="33"/>
      <c r="AC599" s="33"/>
      <c r="AD599" s="33">
        <f>Ruimtestaat[[#This Row],[uren / jaar weekend]]*Tariefsopbouw!$D$40</f>
        <v>0</v>
      </c>
      <c r="AE599" s="86">
        <f>Ruimtestaat[[#This Row],[Prest. (m2 /jaar) weekend]]+Ruimtestaat[[#This Row],[Prest. (m2 /jaar) werkdagen]]</f>
        <v>1680</v>
      </c>
      <c r="AF599" s="86">
        <f>Ruimtestaat[[#This Row],[uren / jaar weekend]]+Ruimtestaat[[#This Row],[uren / jaar werkdagen]]</f>
        <v>0</v>
      </c>
      <c r="AG599" s="87">
        <f>Ruimtestaat[[#This Row],[kosten / jaar weekend]]+Ruimtestaat[[#This Row],[kosten / jaar werkdagen]]</f>
        <v>0</v>
      </c>
    </row>
    <row r="600" spans="1:33" ht="15" customHeight="1">
      <c r="A600" s="187">
        <v>5</v>
      </c>
      <c r="B600" s="21" t="str">
        <f>VLOOKUP(Ruimtestaat[[#This Row],[Code]],Locaties[#All],2,FALSE)</f>
        <v>Potskamp</v>
      </c>
      <c r="C600" s="231" t="str">
        <f>VLOOKUP(Ruimtestaat[[#This Row],[Code]],Locaties[#All],4,FALSE)</f>
        <v>Potskampstraat 2</v>
      </c>
      <c r="D600" s="231" t="str">
        <f>VLOOKUP(Ruimtestaat[[#This Row],[Code]],Locaties[#All],5,FALSE)</f>
        <v>7573 CC</v>
      </c>
      <c r="E600" s="187" t="str">
        <f>VLOOKUP(Ruimtestaat[[#This Row],[Code]],Locaties[#All],6,FALSE)</f>
        <v>Oldenzaal</v>
      </c>
      <c r="F600" s="232"/>
      <c r="G600" s="187" t="s">
        <v>679</v>
      </c>
      <c r="H600" s="187"/>
      <c r="I600" s="232" t="s">
        <v>250</v>
      </c>
      <c r="J600" s="202">
        <v>11</v>
      </c>
      <c r="K600" s="202" t="str">
        <f>VLOOKUP(Ruimtestaat[[#This Row],[Ruimte code]],Ruimtegroepen[#All],2,FALSE)</f>
        <v>Garderobes/kluisjesruimte</v>
      </c>
      <c r="L600" s="231" t="s">
        <v>1204</v>
      </c>
      <c r="M600" s="187" t="s">
        <v>1205</v>
      </c>
      <c r="N600" s="200">
        <v>8</v>
      </c>
      <c r="O600" s="200"/>
      <c r="P600" s="231" t="str">
        <f>VLOOKUP(Ruimtestaat[[#This Row],[Ruimte code]],Ruimtegroepen[#All],4,FALSE)</f>
        <v>V  (Verkeersruimte)</v>
      </c>
      <c r="Q600" s="201"/>
      <c r="R600" s="202">
        <v>42</v>
      </c>
      <c r="S600" s="202" t="s">
        <v>2</v>
      </c>
      <c r="T600" s="202">
        <f>IF(R600&gt;0,IF(RIGHT(Ruimtestaat[[#This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00" s="202">
        <f>IF(T600&gt;0,VLOOKUP($J600,Ruimtegroepen[],3,FALSE)*VLOOKUP($L600,Vloersoorten[],3,FALSE)*VLOOKUP($S600,Frequenties[],3,FALSE)*VLOOKUP($A600,Locaties[],3,FALSE),0)</f>
        <v>0</v>
      </c>
      <c r="V600" s="202">
        <f>Ruimtestaat[[#This Row],[Uitvoeringen werkdagen]]*Ruimtestaat[[#This Row],[Oppervlak (netto)]]</f>
        <v>1680</v>
      </c>
      <c r="W600" s="242">
        <f>IF(U600&gt;0,Ruimtestaat[[#This Row],[Prest. (m2 /jaar) werkdagen]]/Ruimtestaat[[#This Row],[Norm (m2/uur) werkdagen]],0)</f>
        <v>0</v>
      </c>
      <c r="X600" s="243">
        <f>Ruimtestaat[[#This Row],[uren / jaar werkdagen]]*Tariefsopbouw!$D$38</f>
        <v>0</v>
      </c>
      <c r="Y600" s="33"/>
      <c r="Z600" s="33">
        <f>IF(Ruimtestaat[[#This Row],[Frequentie weekend]]&gt;0,VALUE(LEFT(Y600,1))*R600,0)</f>
        <v>0</v>
      </c>
      <c r="AA600" s="33">
        <f>IF($Z600&gt;0,VLOOKUP($J600,Ruimtegroepen[],3,FALSE)*VLOOKUP($L600,Vloersoorten[],3,FALSE)*VLOOKUP($Y600,Frequenties[],3,FALSE)*VLOOKUP(#REF!,Locaties[],3,FALSE),0)</f>
        <v>0</v>
      </c>
      <c r="AB600" s="33"/>
      <c r="AC600" s="33"/>
      <c r="AD600" s="33">
        <f>Ruimtestaat[[#This Row],[uren / jaar weekend]]*Tariefsopbouw!$D$40</f>
        <v>0</v>
      </c>
      <c r="AE600" s="86">
        <f>Ruimtestaat[[#This Row],[Prest. (m2 /jaar) weekend]]+Ruimtestaat[[#This Row],[Prest. (m2 /jaar) werkdagen]]</f>
        <v>1680</v>
      </c>
      <c r="AF600" s="86">
        <f>Ruimtestaat[[#This Row],[uren / jaar weekend]]+Ruimtestaat[[#This Row],[uren / jaar werkdagen]]</f>
        <v>0</v>
      </c>
      <c r="AG600" s="87">
        <f>Ruimtestaat[[#This Row],[kosten / jaar weekend]]+Ruimtestaat[[#This Row],[kosten / jaar werkdagen]]</f>
        <v>0</v>
      </c>
    </row>
    <row r="601" spans="1:33" ht="15" customHeight="1">
      <c r="A601" s="187">
        <v>5</v>
      </c>
      <c r="B601" s="21" t="str">
        <f>VLOOKUP(Ruimtestaat[[#This Row],[Code]],Locaties[#All],2,FALSE)</f>
        <v>Potskamp</v>
      </c>
      <c r="C601" s="231" t="str">
        <f>VLOOKUP(Ruimtestaat[[#This Row],[Code]],Locaties[#All],4,FALSE)</f>
        <v>Potskampstraat 2</v>
      </c>
      <c r="D601" s="231" t="str">
        <f>VLOOKUP(Ruimtestaat[[#This Row],[Code]],Locaties[#All],5,FALSE)</f>
        <v>7573 CC</v>
      </c>
      <c r="E601" s="187" t="str">
        <f>VLOOKUP(Ruimtestaat[[#This Row],[Code]],Locaties[#All],6,FALSE)</f>
        <v>Oldenzaal</v>
      </c>
      <c r="F601" s="232"/>
      <c r="G601" s="202" t="s">
        <v>679</v>
      </c>
      <c r="H601" s="202"/>
      <c r="I601" s="241" t="s">
        <v>372</v>
      </c>
      <c r="J601" s="187">
        <v>6</v>
      </c>
      <c r="K601" s="187" t="str">
        <f>VLOOKUP(Ruimtestaat[[#This Row],[Ruimte code]],Ruimtegroepen[#All],2,FALSE)</f>
        <v>Gangen/hallen</v>
      </c>
      <c r="L601" s="231" t="s">
        <v>1204</v>
      </c>
      <c r="M601" s="187" t="s">
        <v>1205</v>
      </c>
      <c r="N601" s="200">
        <v>144</v>
      </c>
      <c r="O601" s="200"/>
      <c r="P601" s="231" t="str">
        <f>VLOOKUP(Ruimtestaat[[#This Row],[Ruimte code]],Ruimtegroepen[#All],4,FALSE)</f>
        <v>V  (Verkeersruimte)</v>
      </c>
      <c r="Q601" s="201"/>
      <c r="R601" s="202">
        <v>42</v>
      </c>
      <c r="S601" s="202" t="s">
        <v>2</v>
      </c>
      <c r="T601" s="202">
        <f>IF(R601&gt;0,IF(RIGHT(Ruimtestaat[[#This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01" s="202">
        <f>IF(T601&gt;0,VLOOKUP($J601,Ruimtegroepen[],3,FALSE)*VLOOKUP($L601,Vloersoorten[],3,FALSE)*VLOOKUP($S601,Frequenties[],3,FALSE)*VLOOKUP($A601,Locaties[],3,FALSE),0)</f>
        <v>0</v>
      </c>
      <c r="V601" s="202">
        <f>Ruimtestaat[[#This Row],[Uitvoeringen werkdagen]]*Ruimtestaat[[#This Row],[Oppervlak (netto)]]</f>
        <v>30240</v>
      </c>
      <c r="W601" s="242">
        <f>IF(U601&gt;0,Ruimtestaat[[#This Row],[Prest. (m2 /jaar) werkdagen]]/Ruimtestaat[[#This Row],[Norm (m2/uur) werkdagen]],0)</f>
        <v>0</v>
      </c>
      <c r="X601" s="243">
        <f>Ruimtestaat[[#This Row],[uren / jaar werkdagen]]*Tariefsopbouw!$D$38</f>
        <v>0</v>
      </c>
      <c r="Y601" s="33"/>
      <c r="Z601" s="33">
        <f>IF(Ruimtestaat[[#This Row],[Frequentie weekend]]&gt;0,VALUE(LEFT(Y601,1))*R601,0)</f>
        <v>0</v>
      </c>
      <c r="AA601" s="33">
        <f>IF($Z601&gt;0,VLOOKUP($J601,Ruimtegroepen[],3,FALSE)*VLOOKUP($L601,Vloersoorten[],3,FALSE)*VLOOKUP($Y601,Frequenties[],3,FALSE)*VLOOKUP(#REF!,Locaties[],3,FALSE),0)</f>
        <v>0</v>
      </c>
      <c r="AB601" s="33"/>
      <c r="AC601" s="33"/>
      <c r="AD601" s="33">
        <f>Ruimtestaat[[#This Row],[uren / jaar weekend]]*Tariefsopbouw!$D$40</f>
        <v>0</v>
      </c>
      <c r="AE601" s="86">
        <f>Ruimtestaat[[#This Row],[Prest. (m2 /jaar) weekend]]+Ruimtestaat[[#This Row],[Prest. (m2 /jaar) werkdagen]]</f>
        <v>30240</v>
      </c>
      <c r="AF601" s="86">
        <f>Ruimtestaat[[#This Row],[uren / jaar weekend]]+Ruimtestaat[[#This Row],[uren / jaar werkdagen]]</f>
        <v>0</v>
      </c>
      <c r="AG601" s="87">
        <f>Ruimtestaat[[#This Row],[kosten / jaar weekend]]+Ruimtestaat[[#This Row],[kosten / jaar werkdagen]]</f>
        <v>0</v>
      </c>
    </row>
    <row r="602" spans="1:33" ht="15" customHeight="1">
      <c r="A602" s="187">
        <v>5</v>
      </c>
      <c r="B602" s="21" t="str">
        <f>VLOOKUP(Ruimtestaat[[#This Row],[Code]],Locaties[#All],2,FALSE)</f>
        <v>Potskamp</v>
      </c>
      <c r="C602" s="231" t="str">
        <f>VLOOKUP(Ruimtestaat[[#This Row],[Code]],Locaties[#All],4,FALSE)</f>
        <v>Potskampstraat 2</v>
      </c>
      <c r="D602" s="231" t="str">
        <f>VLOOKUP(Ruimtestaat[[#This Row],[Code]],Locaties[#All],5,FALSE)</f>
        <v>7573 CC</v>
      </c>
      <c r="E602" s="187" t="str">
        <f>VLOOKUP(Ruimtestaat[[#This Row],[Code]],Locaties[#All],6,FALSE)</f>
        <v>Oldenzaal</v>
      </c>
      <c r="F602" s="232"/>
      <c r="G602" s="202" t="s">
        <v>679</v>
      </c>
      <c r="H602" s="202">
        <v>104</v>
      </c>
      <c r="I602" s="241" t="s">
        <v>590</v>
      </c>
      <c r="J602" s="187">
        <v>2</v>
      </c>
      <c r="K602" s="187" t="str">
        <f>VLOOKUP(Ruimtestaat[[#This Row],[Ruimte code]],Ruimtegroepen[#All],2,FALSE)</f>
        <v>Kantoren/kantoortuin</v>
      </c>
      <c r="L602" s="231" t="s">
        <v>1204</v>
      </c>
      <c r="M602" s="187" t="s">
        <v>1205</v>
      </c>
      <c r="N602" s="200">
        <v>8</v>
      </c>
      <c r="O602" s="200"/>
      <c r="P602" s="231" t="str">
        <f>VLOOKUP(Ruimtestaat[[#This Row],[Ruimte code]],Ruimtegroepen[#All],4,FALSE)</f>
        <v>B  (Bureauruimte)</v>
      </c>
      <c r="Q602" s="201"/>
      <c r="R602" s="202">
        <v>42</v>
      </c>
      <c r="S602" s="202" t="s">
        <v>2</v>
      </c>
      <c r="T602" s="202">
        <f>IF(R602&gt;0,IF(RIGHT(Ruimtestaat[[#This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02" s="202">
        <f>IF(T602&gt;0,VLOOKUP($J602,Ruimtegroepen[],3,FALSE)*VLOOKUP($L602,Vloersoorten[],3,FALSE)*VLOOKUP($S602,Frequenties[],3,FALSE)*VLOOKUP($A602,Locaties[],3,FALSE),0)</f>
        <v>0</v>
      </c>
      <c r="V602" s="202">
        <f>Ruimtestaat[[#This Row],[Uitvoeringen werkdagen]]*Ruimtestaat[[#This Row],[Oppervlak (netto)]]</f>
        <v>1680</v>
      </c>
      <c r="W602" s="242">
        <f>IF(U602&gt;0,Ruimtestaat[[#This Row],[Prest. (m2 /jaar) werkdagen]]/Ruimtestaat[[#This Row],[Norm (m2/uur) werkdagen]],0)</f>
        <v>0</v>
      </c>
      <c r="X602" s="243">
        <f>Ruimtestaat[[#This Row],[uren / jaar werkdagen]]*Tariefsopbouw!$D$38</f>
        <v>0</v>
      </c>
      <c r="Y602" s="33"/>
      <c r="Z602" s="33">
        <f>IF(Ruimtestaat[[#This Row],[Frequentie weekend]]&gt;0,VALUE(LEFT(Y602,1))*R602,0)</f>
        <v>0</v>
      </c>
      <c r="AA602" s="33">
        <f>IF($Z602&gt;0,VLOOKUP($J602,Ruimtegroepen[],3,FALSE)*VLOOKUP($L602,Vloersoorten[],3,FALSE)*VLOOKUP($Y602,Frequenties[],3,FALSE)*VLOOKUP(#REF!,Locaties[],3,FALSE),0)</f>
        <v>0</v>
      </c>
      <c r="AB602" s="33"/>
      <c r="AC602" s="33"/>
      <c r="AD602" s="33">
        <f>Ruimtestaat[[#This Row],[uren / jaar weekend]]*Tariefsopbouw!$D$40</f>
        <v>0</v>
      </c>
      <c r="AE602" s="86">
        <f>Ruimtestaat[[#This Row],[Prest. (m2 /jaar) weekend]]+Ruimtestaat[[#This Row],[Prest. (m2 /jaar) werkdagen]]</f>
        <v>1680</v>
      </c>
      <c r="AF602" s="86">
        <f>Ruimtestaat[[#This Row],[uren / jaar weekend]]+Ruimtestaat[[#This Row],[uren / jaar werkdagen]]</f>
        <v>0</v>
      </c>
      <c r="AG602" s="87">
        <f>Ruimtestaat[[#This Row],[kosten / jaar weekend]]+Ruimtestaat[[#This Row],[kosten / jaar werkdagen]]</f>
        <v>0</v>
      </c>
    </row>
    <row r="603" spans="1:33" ht="15" customHeight="1">
      <c r="A603" s="187">
        <v>5</v>
      </c>
      <c r="B603" s="21" t="str">
        <f>VLOOKUP(Ruimtestaat[[#This Row],[Code]],Locaties[#All],2,FALSE)</f>
        <v>Potskamp</v>
      </c>
      <c r="C603" s="231" t="str">
        <f>VLOOKUP(Ruimtestaat[[#This Row],[Code]],Locaties[#All],4,FALSE)</f>
        <v>Potskampstraat 2</v>
      </c>
      <c r="D603" s="231" t="str">
        <f>VLOOKUP(Ruimtestaat[[#This Row],[Code]],Locaties[#All],5,FALSE)</f>
        <v>7573 CC</v>
      </c>
      <c r="E603" s="187" t="str">
        <f>VLOOKUP(Ruimtestaat[[#This Row],[Code]],Locaties[#All],6,FALSE)</f>
        <v>Oldenzaal</v>
      </c>
      <c r="F603" s="232"/>
      <c r="G603" s="202" t="s">
        <v>679</v>
      </c>
      <c r="H603" s="187">
        <v>105</v>
      </c>
      <c r="I603" s="232" t="s">
        <v>778</v>
      </c>
      <c r="J603" s="231">
        <v>2</v>
      </c>
      <c r="K603" s="231" t="str">
        <f>VLOOKUP(Ruimtestaat[[#This Row],[Ruimte code]],Ruimtegroepen[#All],2,FALSE)</f>
        <v>Kantoren/kantoortuin</v>
      </c>
      <c r="L603" s="231" t="s">
        <v>1204</v>
      </c>
      <c r="M603" s="187" t="s">
        <v>1205</v>
      </c>
      <c r="N603" s="200">
        <v>64</v>
      </c>
      <c r="O603" s="200"/>
      <c r="P603" s="231" t="str">
        <f>VLOOKUP(Ruimtestaat[[#This Row],[Ruimte code]],Ruimtegroepen[#All],4,FALSE)</f>
        <v>B  (Bureauruimte)</v>
      </c>
      <c r="Q603" s="201"/>
      <c r="R603" s="202">
        <v>42</v>
      </c>
      <c r="S603" s="202" t="s">
        <v>2</v>
      </c>
      <c r="T603" s="202">
        <f>IF(R603&gt;0,IF(RIGHT(Ruimtestaat[[#This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03" s="202">
        <f>IF(T603&gt;0,VLOOKUP($J603,Ruimtegroepen[],3,FALSE)*VLOOKUP($L603,Vloersoorten[],3,FALSE)*VLOOKUP($S603,Frequenties[],3,FALSE)*VLOOKUP($A603,Locaties[],3,FALSE),0)</f>
        <v>0</v>
      </c>
      <c r="V603" s="202">
        <f>Ruimtestaat[[#This Row],[Uitvoeringen werkdagen]]*Ruimtestaat[[#This Row],[Oppervlak (netto)]]</f>
        <v>13440</v>
      </c>
      <c r="W603" s="242">
        <f>IF(U603&gt;0,Ruimtestaat[[#This Row],[Prest. (m2 /jaar) werkdagen]]/Ruimtestaat[[#This Row],[Norm (m2/uur) werkdagen]],0)</f>
        <v>0</v>
      </c>
      <c r="X603" s="243">
        <f>Ruimtestaat[[#This Row],[uren / jaar werkdagen]]*Tariefsopbouw!$D$38</f>
        <v>0</v>
      </c>
      <c r="Y603" s="33"/>
      <c r="Z603" s="33">
        <f>IF(Ruimtestaat[[#This Row],[Frequentie weekend]]&gt;0,VALUE(LEFT(Y603,1))*R603,0)</f>
        <v>0</v>
      </c>
      <c r="AA603" s="33">
        <f>IF($Z603&gt;0,VLOOKUP($J603,Ruimtegroepen[],3,FALSE)*VLOOKUP($L603,Vloersoorten[],3,FALSE)*VLOOKUP($Y603,Frequenties[],3,FALSE)*VLOOKUP(#REF!,Locaties[],3,FALSE),0)</f>
        <v>0</v>
      </c>
      <c r="AB603" s="33"/>
      <c r="AC603" s="33"/>
      <c r="AD603" s="33">
        <f>Ruimtestaat[[#This Row],[uren / jaar weekend]]*Tariefsopbouw!$D$40</f>
        <v>0</v>
      </c>
      <c r="AE603" s="86">
        <f>Ruimtestaat[[#This Row],[Prest. (m2 /jaar) weekend]]+Ruimtestaat[[#This Row],[Prest. (m2 /jaar) werkdagen]]</f>
        <v>13440</v>
      </c>
      <c r="AF603" s="86">
        <f>Ruimtestaat[[#This Row],[uren / jaar weekend]]+Ruimtestaat[[#This Row],[uren / jaar werkdagen]]</f>
        <v>0</v>
      </c>
      <c r="AG603" s="87">
        <f>Ruimtestaat[[#This Row],[kosten / jaar weekend]]+Ruimtestaat[[#This Row],[kosten / jaar werkdagen]]</f>
        <v>0</v>
      </c>
    </row>
    <row r="604" spans="1:33" ht="15" customHeight="1">
      <c r="A604" s="187">
        <v>5</v>
      </c>
      <c r="B604" s="21" t="str">
        <f>VLOOKUP(Ruimtestaat[[#This Row],[Code]],Locaties[#All],2,FALSE)</f>
        <v>Potskamp</v>
      </c>
      <c r="C604" s="231" t="str">
        <f>VLOOKUP(Ruimtestaat[[#This Row],[Code]],Locaties[#All],4,FALSE)</f>
        <v>Potskampstraat 2</v>
      </c>
      <c r="D604" s="231" t="str">
        <f>VLOOKUP(Ruimtestaat[[#This Row],[Code]],Locaties[#All],5,FALSE)</f>
        <v>7573 CC</v>
      </c>
      <c r="E604" s="187" t="str">
        <f>VLOOKUP(Ruimtestaat[[#This Row],[Code]],Locaties[#All],6,FALSE)</f>
        <v>Oldenzaal</v>
      </c>
      <c r="F604" s="232"/>
      <c r="G604" s="202" t="s">
        <v>679</v>
      </c>
      <c r="H604" s="187">
        <v>106</v>
      </c>
      <c r="I604" s="232" t="s">
        <v>604</v>
      </c>
      <c r="J604" s="231">
        <v>16</v>
      </c>
      <c r="K604" s="231" t="str">
        <f>VLOOKUP(Ruimtestaat[[#This Row],[Ruimte code]],Ruimtegroepen[#All],2,FALSE)</f>
        <v>Leslokalen/computerlokaal</v>
      </c>
      <c r="L604" s="231" t="s">
        <v>677</v>
      </c>
      <c r="M604" s="187" t="s">
        <v>1200</v>
      </c>
      <c r="N604" s="200">
        <v>64</v>
      </c>
      <c r="O604" s="200"/>
      <c r="P604" s="231" t="str">
        <f>VLOOKUP(Ruimtestaat[[#This Row],[Ruimte code]],Ruimtegroepen[#All],4,FALSE)</f>
        <v>L  (Lesruimte)</v>
      </c>
      <c r="Q604" s="201"/>
      <c r="R604" s="202">
        <v>42</v>
      </c>
      <c r="S604" s="202" t="s">
        <v>2</v>
      </c>
      <c r="T604" s="202">
        <f>IF(R604&gt;0,IF(RIGHT(Ruimtestaat[[#This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04" s="202">
        <f>IF(T604&gt;0,VLOOKUP($J604,Ruimtegroepen[],3,FALSE)*VLOOKUP($L604,Vloersoorten[],3,FALSE)*VLOOKUP($S604,Frequenties[],3,FALSE)*VLOOKUP($A604,Locaties[],3,FALSE),0)</f>
        <v>0</v>
      </c>
      <c r="V604" s="202">
        <f>Ruimtestaat[[#This Row],[Uitvoeringen werkdagen]]*Ruimtestaat[[#This Row],[Oppervlak (netto)]]</f>
        <v>13440</v>
      </c>
      <c r="W604" s="242">
        <f>IF(U604&gt;0,Ruimtestaat[[#This Row],[Prest. (m2 /jaar) werkdagen]]/Ruimtestaat[[#This Row],[Norm (m2/uur) werkdagen]],0)</f>
        <v>0</v>
      </c>
      <c r="X604" s="243">
        <f>Ruimtestaat[[#This Row],[uren / jaar werkdagen]]*Tariefsopbouw!$D$38</f>
        <v>0</v>
      </c>
      <c r="Y604" s="33"/>
      <c r="Z604" s="33">
        <f>IF(Ruimtestaat[[#This Row],[Frequentie weekend]]&gt;0,VALUE(LEFT(Y604,1))*R604,0)</f>
        <v>0</v>
      </c>
      <c r="AA604" s="33">
        <f>IF($Z604&gt;0,VLOOKUP($J604,Ruimtegroepen[],3,FALSE)*VLOOKUP($L604,Vloersoorten[],3,FALSE)*VLOOKUP($Y604,Frequenties[],3,FALSE)*VLOOKUP(#REF!,Locaties[],3,FALSE),0)</f>
        <v>0</v>
      </c>
      <c r="AB604" s="33"/>
      <c r="AC604" s="33"/>
      <c r="AD604" s="33">
        <f>Ruimtestaat[[#This Row],[uren / jaar weekend]]*Tariefsopbouw!$D$40</f>
        <v>0</v>
      </c>
      <c r="AE604" s="86">
        <f>Ruimtestaat[[#This Row],[Prest. (m2 /jaar) weekend]]+Ruimtestaat[[#This Row],[Prest. (m2 /jaar) werkdagen]]</f>
        <v>13440</v>
      </c>
      <c r="AF604" s="86">
        <f>Ruimtestaat[[#This Row],[uren / jaar weekend]]+Ruimtestaat[[#This Row],[uren / jaar werkdagen]]</f>
        <v>0</v>
      </c>
      <c r="AG604" s="87">
        <f>Ruimtestaat[[#This Row],[kosten / jaar weekend]]+Ruimtestaat[[#This Row],[kosten / jaar werkdagen]]</f>
        <v>0</v>
      </c>
    </row>
    <row r="605" spans="1:33" ht="15" customHeight="1">
      <c r="A605" s="187">
        <v>5</v>
      </c>
      <c r="B605" s="21" t="str">
        <f>VLOOKUP(Ruimtestaat[[#This Row],[Code]],Locaties[#All],2,FALSE)</f>
        <v>Potskamp</v>
      </c>
      <c r="C605" s="231" t="str">
        <f>VLOOKUP(Ruimtestaat[[#This Row],[Code]],Locaties[#All],4,FALSE)</f>
        <v>Potskampstraat 2</v>
      </c>
      <c r="D605" s="231" t="str">
        <f>VLOOKUP(Ruimtestaat[[#This Row],[Code]],Locaties[#All],5,FALSE)</f>
        <v>7573 CC</v>
      </c>
      <c r="E605" s="187" t="str">
        <f>VLOOKUP(Ruimtestaat[[#This Row],[Code]],Locaties[#All],6,FALSE)</f>
        <v>Oldenzaal</v>
      </c>
      <c r="F605" s="232"/>
      <c r="G605" s="202" t="s">
        <v>679</v>
      </c>
      <c r="H605" s="187">
        <v>107</v>
      </c>
      <c r="I605" s="232" t="s">
        <v>604</v>
      </c>
      <c r="J605" s="187">
        <v>16</v>
      </c>
      <c r="K605" s="187" t="str">
        <f>VLOOKUP(Ruimtestaat[[#This Row],[Ruimte code]],Ruimtegroepen[#All],2,FALSE)</f>
        <v>Leslokalen/computerlokaal</v>
      </c>
      <c r="L605" s="231" t="s">
        <v>677</v>
      </c>
      <c r="M605" s="187" t="s">
        <v>1200</v>
      </c>
      <c r="N605" s="200">
        <v>61</v>
      </c>
      <c r="O605" s="200"/>
      <c r="P605" s="231" t="str">
        <f>VLOOKUP(Ruimtestaat[[#This Row],[Ruimte code]],Ruimtegroepen[#All],4,FALSE)</f>
        <v>L  (Lesruimte)</v>
      </c>
      <c r="Q605" s="201"/>
      <c r="R605" s="202">
        <v>42</v>
      </c>
      <c r="S605" s="202" t="s">
        <v>2</v>
      </c>
      <c r="T605" s="202">
        <f>IF(R605&gt;0,IF(RIGHT(Ruimtestaat[[#This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05" s="202">
        <f>IF(T605&gt;0,VLOOKUP($J605,Ruimtegroepen[],3,FALSE)*VLOOKUP($L605,Vloersoorten[],3,FALSE)*VLOOKUP($S605,Frequenties[],3,FALSE)*VLOOKUP($A605,Locaties[],3,FALSE),0)</f>
        <v>0</v>
      </c>
      <c r="V605" s="202">
        <f>Ruimtestaat[[#This Row],[Uitvoeringen werkdagen]]*Ruimtestaat[[#This Row],[Oppervlak (netto)]]</f>
        <v>12810</v>
      </c>
      <c r="W605" s="242">
        <f>IF(U605&gt;0,Ruimtestaat[[#This Row],[Prest. (m2 /jaar) werkdagen]]/Ruimtestaat[[#This Row],[Norm (m2/uur) werkdagen]],0)</f>
        <v>0</v>
      </c>
      <c r="X605" s="243">
        <f>Ruimtestaat[[#This Row],[uren / jaar werkdagen]]*Tariefsopbouw!$D$38</f>
        <v>0</v>
      </c>
      <c r="Y605" s="33"/>
      <c r="Z605" s="33">
        <f>IF(Ruimtestaat[[#This Row],[Frequentie weekend]]&gt;0,VALUE(LEFT(Y605,1))*R605,0)</f>
        <v>0</v>
      </c>
      <c r="AA605" s="33">
        <f>IF($Z605&gt;0,VLOOKUP($J605,Ruimtegroepen[],3,FALSE)*VLOOKUP($L605,Vloersoorten[],3,FALSE)*VLOOKUP($Y605,Frequenties[],3,FALSE)*VLOOKUP(#REF!,Locaties[],3,FALSE),0)</f>
        <v>0</v>
      </c>
      <c r="AB605" s="33"/>
      <c r="AC605" s="33"/>
      <c r="AD605" s="33">
        <f>Ruimtestaat[[#This Row],[uren / jaar weekend]]*Tariefsopbouw!$D$40</f>
        <v>0</v>
      </c>
      <c r="AE605" s="86">
        <f>Ruimtestaat[[#This Row],[Prest. (m2 /jaar) weekend]]+Ruimtestaat[[#This Row],[Prest. (m2 /jaar) werkdagen]]</f>
        <v>12810</v>
      </c>
      <c r="AF605" s="86">
        <f>Ruimtestaat[[#This Row],[uren / jaar weekend]]+Ruimtestaat[[#This Row],[uren / jaar werkdagen]]</f>
        <v>0</v>
      </c>
      <c r="AG605" s="87">
        <f>Ruimtestaat[[#This Row],[kosten / jaar weekend]]+Ruimtestaat[[#This Row],[kosten / jaar werkdagen]]</f>
        <v>0</v>
      </c>
    </row>
    <row r="606" spans="1:33" ht="15" customHeight="1">
      <c r="A606" s="187">
        <v>5</v>
      </c>
      <c r="B606" s="21" t="str">
        <f>VLOOKUP(Ruimtestaat[[#This Row],[Code]],Locaties[#All],2,FALSE)</f>
        <v>Potskamp</v>
      </c>
      <c r="C606" s="231" t="str">
        <f>VLOOKUP(Ruimtestaat[[#This Row],[Code]],Locaties[#All],4,FALSE)</f>
        <v>Potskampstraat 2</v>
      </c>
      <c r="D606" s="231" t="str">
        <f>VLOOKUP(Ruimtestaat[[#This Row],[Code]],Locaties[#All],5,FALSE)</f>
        <v>7573 CC</v>
      </c>
      <c r="E606" s="187" t="str">
        <f>VLOOKUP(Ruimtestaat[[#This Row],[Code]],Locaties[#All],6,FALSE)</f>
        <v>Oldenzaal</v>
      </c>
      <c r="F606" s="232"/>
      <c r="G606" s="202" t="s">
        <v>679</v>
      </c>
      <c r="H606" s="187">
        <v>108</v>
      </c>
      <c r="I606" s="232" t="s">
        <v>604</v>
      </c>
      <c r="J606" s="187">
        <v>16</v>
      </c>
      <c r="K606" s="187" t="str">
        <f>VLOOKUP(Ruimtestaat[[#This Row],[Ruimte code]],Ruimtegroepen[#All],2,FALSE)</f>
        <v>Leslokalen/computerlokaal</v>
      </c>
      <c r="L606" s="231" t="s">
        <v>677</v>
      </c>
      <c r="M606" s="187" t="s">
        <v>1200</v>
      </c>
      <c r="N606" s="200">
        <v>64</v>
      </c>
      <c r="O606" s="200"/>
      <c r="P606" s="231" t="str">
        <f>VLOOKUP(Ruimtestaat[[#This Row],[Ruimte code]],Ruimtegroepen[#All],4,FALSE)</f>
        <v>L  (Lesruimte)</v>
      </c>
      <c r="Q606" s="201"/>
      <c r="R606" s="202">
        <v>42</v>
      </c>
      <c r="S606" s="202" t="s">
        <v>2</v>
      </c>
      <c r="T606" s="202">
        <f>IF(R606&gt;0,IF(RIGHT(Ruimtestaat[[#This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06" s="202">
        <f>IF(T606&gt;0,VLOOKUP($J606,Ruimtegroepen[],3,FALSE)*VLOOKUP($L606,Vloersoorten[],3,FALSE)*VLOOKUP($S606,Frequenties[],3,FALSE)*VLOOKUP($A606,Locaties[],3,FALSE),0)</f>
        <v>0</v>
      </c>
      <c r="V606" s="202">
        <f>Ruimtestaat[[#This Row],[Uitvoeringen werkdagen]]*Ruimtestaat[[#This Row],[Oppervlak (netto)]]</f>
        <v>13440</v>
      </c>
      <c r="W606" s="242">
        <f>IF(U606&gt;0,Ruimtestaat[[#This Row],[Prest. (m2 /jaar) werkdagen]]/Ruimtestaat[[#This Row],[Norm (m2/uur) werkdagen]],0)</f>
        <v>0</v>
      </c>
      <c r="X606" s="243">
        <f>Ruimtestaat[[#This Row],[uren / jaar werkdagen]]*Tariefsopbouw!$D$38</f>
        <v>0</v>
      </c>
      <c r="Y606" s="33"/>
      <c r="Z606" s="33">
        <f>IF(Ruimtestaat[[#This Row],[Frequentie weekend]]&gt;0,VALUE(LEFT(Y606,1))*R606,0)</f>
        <v>0</v>
      </c>
      <c r="AA606" s="33">
        <f>IF($Z606&gt;0,VLOOKUP($J606,Ruimtegroepen[],3,FALSE)*VLOOKUP($L606,Vloersoorten[],3,FALSE)*VLOOKUP($Y606,Frequenties[],3,FALSE)*VLOOKUP(#REF!,Locaties[],3,FALSE),0)</f>
        <v>0</v>
      </c>
      <c r="AB606" s="33"/>
      <c r="AC606" s="33"/>
      <c r="AD606" s="33">
        <f>Ruimtestaat[[#This Row],[uren / jaar weekend]]*Tariefsopbouw!$D$40</f>
        <v>0</v>
      </c>
      <c r="AE606" s="86">
        <f>Ruimtestaat[[#This Row],[Prest. (m2 /jaar) weekend]]+Ruimtestaat[[#This Row],[Prest. (m2 /jaar) werkdagen]]</f>
        <v>13440</v>
      </c>
      <c r="AF606" s="86">
        <f>Ruimtestaat[[#This Row],[uren / jaar weekend]]+Ruimtestaat[[#This Row],[uren / jaar werkdagen]]</f>
        <v>0</v>
      </c>
      <c r="AG606" s="87">
        <f>Ruimtestaat[[#This Row],[kosten / jaar weekend]]+Ruimtestaat[[#This Row],[kosten / jaar werkdagen]]</f>
        <v>0</v>
      </c>
    </row>
    <row r="607" spans="1:33" ht="15" customHeight="1">
      <c r="A607" s="187">
        <v>5</v>
      </c>
      <c r="B607" s="21" t="str">
        <f>VLOOKUP(Ruimtestaat[[#This Row],[Code]],Locaties[#All],2,FALSE)</f>
        <v>Potskamp</v>
      </c>
      <c r="C607" s="231" t="str">
        <f>VLOOKUP(Ruimtestaat[[#This Row],[Code]],Locaties[#All],4,FALSE)</f>
        <v>Potskampstraat 2</v>
      </c>
      <c r="D607" s="231" t="str">
        <f>VLOOKUP(Ruimtestaat[[#This Row],[Code]],Locaties[#All],5,FALSE)</f>
        <v>7573 CC</v>
      </c>
      <c r="E607" s="187" t="str">
        <f>VLOOKUP(Ruimtestaat[[#This Row],[Code]],Locaties[#All],6,FALSE)</f>
        <v>Oldenzaal</v>
      </c>
      <c r="F607" s="232"/>
      <c r="G607" s="202" t="s">
        <v>679</v>
      </c>
      <c r="H607" s="187">
        <v>36</v>
      </c>
      <c r="I607" s="232" t="s">
        <v>596</v>
      </c>
      <c r="J607" s="187">
        <v>10</v>
      </c>
      <c r="K607" s="187" t="str">
        <f>VLOOKUP(Ruimtestaat[[#This Row],[Ruimte code]],Ruimtegroepen[#All],2,FALSE)</f>
        <v>Trappenhuizen/lift</v>
      </c>
      <c r="L607" s="202" t="s">
        <v>108</v>
      </c>
      <c r="M607" s="187" t="s">
        <v>1202</v>
      </c>
      <c r="N607" s="200">
        <v>30</v>
      </c>
      <c r="O607" s="200"/>
      <c r="P607" s="231" t="str">
        <f>VLOOKUP(Ruimtestaat[[#This Row],[Ruimte code]],Ruimtegroepen[#All],4,FALSE)</f>
        <v>V  (Verkeersruimte)</v>
      </c>
      <c r="Q607" s="201"/>
      <c r="R607" s="202">
        <v>42</v>
      </c>
      <c r="S607" s="202" t="s">
        <v>2</v>
      </c>
      <c r="T607" s="202">
        <f>IF(R607&gt;0,IF(RIGHT(Ruimtestaat[[#This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07" s="202">
        <f>IF(T607&gt;0,VLOOKUP($J607,Ruimtegroepen[],3,FALSE)*VLOOKUP($L607,Vloersoorten[],3,FALSE)*VLOOKUP($S607,Frequenties[],3,FALSE)*VLOOKUP($A607,Locaties[],3,FALSE),0)</f>
        <v>0</v>
      </c>
      <c r="V607" s="202">
        <f>Ruimtestaat[[#This Row],[Uitvoeringen werkdagen]]*Ruimtestaat[[#This Row],[Oppervlak (netto)]]</f>
        <v>6300</v>
      </c>
      <c r="W607" s="242">
        <f>IF(U607&gt;0,Ruimtestaat[[#This Row],[Prest. (m2 /jaar) werkdagen]]/Ruimtestaat[[#This Row],[Norm (m2/uur) werkdagen]],0)</f>
        <v>0</v>
      </c>
      <c r="X607" s="243">
        <f>Ruimtestaat[[#This Row],[uren / jaar werkdagen]]*Tariefsopbouw!$D$38</f>
        <v>0</v>
      </c>
      <c r="Y607" s="33"/>
      <c r="Z607" s="33">
        <f>IF(Ruimtestaat[[#This Row],[Frequentie weekend]]&gt;0,VALUE(LEFT(Y607,1))*R607,0)</f>
        <v>0</v>
      </c>
      <c r="AA607" s="33">
        <f>IF($Z607&gt;0,VLOOKUP($J607,Ruimtegroepen[],3,FALSE)*VLOOKUP($L607,Vloersoorten[],3,FALSE)*VLOOKUP($Y607,Frequenties[],3,FALSE)*VLOOKUP(#REF!,Locaties[],3,FALSE),0)</f>
        <v>0</v>
      </c>
      <c r="AB607" s="33"/>
      <c r="AC607" s="33"/>
      <c r="AD607" s="33">
        <f>Ruimtestaat[[#This Row],[uren / jaar weekend]]*Tariefsopbouw!$D$40</f>
        <v>0</v>
      </c>
      <c r="AE607" s="86">
        <f>Ruimtestaat[[#This Row],[Prest. (m2 /jaar) weekend]]+Ruimtestaat[[#This Row],[Prest. (m2 /jaar) werkdagen]]</f>
        <v>6300</v>
      </c>
      <c r="AF607" s="86">
        <f>Ruimtestaat[[#This Row],[uren / jaar weekend]]+Ruimtestaat[[#This Row],[uren / jaar werkdagen]]</f>
        <v>0</v>
      </c>
      <c r="AG607" s="87">
        <f>Ruimtestaat[[#This Row],[kosten / jaar weekend]]+Ruimtestaat[[#This Row],[kosten / jaar werkdagen]]</f>
        <v>0</v>
      </c>
    </row>
    <row r="608" spans="1:33" ht="15" customHeight="1">
      <c r="A608" s="187">
        <v>5</v>
      </c>
      <c r="B608" s="21" t="str">
        <f>VLOOKUP(Ruimtestaat[[#This Row],[Code]],Locaties[#All],2,FALSE)</f>
        <v>Potskamp</v>
      </c>
      <c r="C608" s="231" t="str">
        <f>VLOOKUP(Ruimtestaat[[#This Row],[Code]],Locaties[#All],4,FALSE)</f>
        <v>Potskampstraat 2</v>
      </c>
      <c r="D608" s="231" t="str">
        <f>VLOOKUP(Ruimtestaat[[#This Row],[Code]],Locaties[#All],5,FALSE)</f>
        <v>7573 CC</v>
      </c>
      <c r="E608" s="187" t="str">
        <f>VLOOKUP(Ruimtestaat[[#This Row],[Code]],Locaties[#All],6,FALSE)</f>
        <v>Oldenzaal</v>
      </c>
      <c r="F608" s="232"/>
      <c r="G608" s="202" t="s">
        <v>679</v>
      </c>
      <c r="H608" s="187"/>
      <c r="I608" s="232" t="s">
        <v>372</v>
      </c>
      <c r="J608" s="187">
        <v>6</v>
      </c>
      <c r="K608" s="187" t="str">
        <f>VLOOKUP(Ruimtestaat[[#This Row],[Ruimte code]],Ruimtegroepen[#All],2,FALSE)</f>
        <v>Gangen/hallen</v>
      </c>
      <c r="L608" s="202" t="s">
        <v>108</v>
      </c>
      <c r="M608" s="187" t="s">
        <v>1211</v>
      </c>
      <c r="N608" s="200">
        <v>64</v>
      </c>
      <c r="O608" s="200"/>
      <c r="P608" s="231" t="str">
        <f>VLOOKUP(Ruimtestaat[[#This Row],[Ruimte code]],Ruimtegroepen[#All],4,FALSE)</f>
        <v>V  (Verkeersruimte)</v>
      </c>
      <c r="Q608" s="201"/>
      <c r="R608" s="202">
        <v>42</v>
      </c>
      <c r="S608" s="202" t="s">
        <v>2</v>
      </c>
      <c r="T608" s="202">
        <f>IF(R608&gt;0,IF(RIGHT(Ruimtestaat[[#This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08" s="202">
        <f>IF(T608&gt;0,VLOOKUP($J608,Ruimtegroepen[],3,FALSE)*VLOOKUP($L608,Vloersoorten[],3,FALSE)*VLOOKUP($S608,Frequenties[],3,FALSE)*VLOOKUP($A608,Locaties[],3,FALSE),0)</f>
        <v>0</v>
      </c>
      <c r="V608" s="202">
        <f>Ruimtestaat[[#This Row],[Uitvoeringen werkdagen]]*Ruimtestaat[[#This Row],[Oppervlak (netto)]]</f>
        <v>13440</v>
      </c>
      <c r="W608" s="242">
        <f>IF(U608&gt;0,Ruimtestaat[[#This Row],[Prest. (m2 /jaar) werkdagen]]/Ruimtestaat[[#This Row],[Norm (m2/uur) werkdagen]],0)</f>
        <v>0</v>
      </c>
      <c r="X608" s="243">
        <f>Ruimtestaat[[#This Row],[uren / jaar werkdagen]]*Tariefsopbouw!$D$38</f>
        <v>0</v>
      </c>
      <c r="Y608" s="33"/>
      <c r="Z608" s="33">
        <f>IF(Ruimtestaat[[#This Row],[Frequentie weekend]]&gt;0,VALUE(LEFT(Y608,1))*R608,0)</f>
        <v>0</v>
      </c>
      <c r="AA608" s="33">
        <f>IF($Z608&gt;0,VLOOKUP($J608,Ruimtegroepen[],3,FALSE)*VLOOKUP($L608,Vloersoorten[],3,FALSE)*VLOOKUP($Y608,Frequenties[],3,FALSE)*VLOOKUP(#REF!,Locaties[],3,FALSE),0)</f>
        <v>0</v>
      </c>
      <c r="AB608" s="33"/>
      <c r="AC608" s="33"/>
      <c r="AD608" s="33">
        <f>Ruimtestaat[[#This Row],[uren / jaar weekend]]*Tariefsopbouw!$D$40</f>
        <v>0</v>
      </c>
      <c r="AE608" s="86">
        <f>Ruimtestaat[[#This Row],[Prest. (m2 /jaar) weekend]]+Ruimtestaat[[#This Row],[Prest. (m2 /jaar) werkdagen]]</f>
        <v>13440</v>
      </c>
      <c r="AF608" s="86">
        <f>Ruimtestaat[[#This Row],[uren / jaar weekend]]+Ruimtestaat[[#This Row],[uren / jaar werkdagen]]</f>
        <v>0</v>
      </c>
      <c r="AG608" s="87">
        <f>Ruimtestaat[[#This Row],[kosten / jaar weekend]]+Ruimtestaat[[#This Row],[kosten / jaar werkdagen]]</f>
        <v>0</v>
      </c>
    </row>
    <row r="609" spans="1:33" ht="15" customHeight="1">
      <c r="A609" s="187">
        <v>5</v>
      </c>
      <c r="B609" s="21" t="str">
        <f>VLOOKUP(Ruimtestaat[[#This Row],[Code]],Locaties[#All],2,FALSE)</f>
        <v>Potskamp</v>
      </c>
      <c r="C609" s="231" t="str">
        <f>VLOOKUP(Ruimtestaat[[#This Row],[Code]],Locaties[#All],4,FALSE)</f>
        <v>Potskampstraat 2</v>
      </c>
      <c r="D609" s="231" t="str">
        <f>VLOOKUP(Ruimtestaat[[#This Row],[Code]],Locaties[#All],5,FALSE)</f>
        <v>7573 CC</v>
      </c>
      <c r="E609" s="187" t="str">
        <f>VLOOKUP(Ruimtestaat[[#This Row],[Code]],Locaties[#All],6,FALSE)</f>
        <v>Oldenzaal</v>
      </c>
      <c r="F609" s="232"/>
      <c r="G609" s="202">
        <v>1</v>
      </c>
      <c r="H609" s="187"/>
      <c r="I609" s="232" t="s">
        <v>473</v>
      </c>
      <c r="J609" s="245">
        <v>10</v>
      </c>
      <c r="K609" s="245" t="str">
        <f>VLOOKUP(Ruimtestaat[[#This Row],[Ruimte code]],Ruimtegroepen[#All],2,FALSE)</f>
        <v>Trappenhuizen/lift</v>
      </c>
      <c r="L609" s="202" t="s">
        <v>108</v>
      </c>
      <c r="M609" s="187" t="s">
        <v>1211</v>
      </c>
      <c r="N609" s="200">
        <v>24</v>
      </c>
      <c r="O609" s="200"/>
      <c r="P609" s="231" t="str">
        <f>VLOOKUP(Ruimtestaat[[#This Row],[Ruimte code]],Ruimtegroepen[#All],4,FALSE)</f>
        <v>V  (Verkeersruimte)</v>
      </c>
      <c r="Q609" s="201"/>
      <c r="R609" s="202">
        <v>42</v>
      </c>
      <c r="S609" s="202" t="s">
        <v>2</v>
      </c>
      <c r="T609" s="202">
        <f>IF(R609&gt;0,IF(RIGHT(Ruimtestaat[[#This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09" s="202">
        <f>IF(T609&gt;0,VLOOKUP($J609,Ruimtegroepen[],3,FALSE)*VLOOKUP($L609,Vloersoorten[],3,FALSE)*VLOOKUP($S609,Frequenties[],3,FALSE)*VLOOKUP($A609,Locaties[],3,FALSE),0)</f>
        <v>0</v>
      </c>
      <c r="V609" s="202">
        <f>Ruimtestaat[[#This Row],[Uitvoeringen werkdagen]]*Ruimtestaat[[#This Row],[Oppervlak (netto)]]</f>
        <v>5040</v>
      </c>
      <c r="W609" s="242">
        <f>IF(U609&gt;0,Ruimtestaat[[#This Row],[Prest. (m2 /jaar) werkdagen]]/Ruimtestaat[[#This Row],[Norm (m2/uur) werkdagen]],0)</f>
        <v>0</v>
      </c>
      <c r="X609" s="243">
        <f>Ruimtestaat[[#This Row],[uren / jaar werkdagen]]*Tariefsopbouw!$D$38</f>
        <v>0</v>
      </c>
      <c r="Y609" s="33"/>
      <c r="Z609" s="33">
        <f>IF(Ruimtestaat[[#This Row],[Frequentie weekend]]&gt;0,VALUE(LEFT(Y609,1))*R609,0)</f>
        <v>0</v>
      </c>
      <c r="AA609" s="33">
        <f>IF($Z609&gt;0,VLOOKUP($J609,Ruimtegroepen[],3,FALSE)*VLOOKUP($L609,Vloersoorten[],3,FALSE)*VLOOKUP($Y609,Frequenties[],3,FALSE)*VLOOKUP(#REF!,Locaties[],3,FALSE),0)</f>
        <v>0</v>
      </c>
      <c r="AB609" s="33"/>
      <c r="AC609" s="33"/>
      <c r="AD609" s="33">
        <f>Ruimtestaat[[#This Row],[uren / jaar weekend]]*Tariefsopbouw!$D$40</f>
        <v>0</v>
      </c>
      <c r="AE609" s="86">
        <f>Ruimtestaat[[#This Row],[Prest. (m2 /jaar) weekend]]+Ruimtestaat[[#This Row],[Prest. (m2 /jaar) werkdagen]]</f>
        <v>5040</v>
      </c>
      <c r="AF609" s="86">
        <f>Ruimtestaat[[#This Row],[uren / jaar weekend]]+Ruimtestaat[[#This Row],[uren / jaar werkdagen]]</f>
        <v>0</v>
      </c>
      <c r="AG609" s="87">
        <f>Ruimtestaat[[#This Row],[kosten / jaar weekend]]+Ruimtestaat[[#This Row],[kosten / jaar werkdagen]]</f>
        <v>0</v>
      </c>
    </row>
    <row r="610" spans="1:33" ht="15" customHeight="1">
      <c r="A610" s="187">
        <v>5</v>
      </c>
      <c r="B610" s="21" t="str">
        <f>VLOOKUP(Ruimtestaat[[#This Row],[Code]],Locaties[#All],2,FALSE)</f>
        <v>Potskamp</v>
      </c>
      <c r="C610" s="231" t="str">
        <f>VLOOKUP(Ruimtestaat[[#This Row],[Code]],Locaties[#All],4,FALSE)</f>
        <v>Potskampstraat 2</v>
      </c>
      <c r="D610" s="231" t="str">
        <f>VLOOKUP(Ruimtestaat[[#This Row],[Code]],Locaties[#All],5,FALSE)</f>
        <v>7573 CC</v>
      </c>
      <c r="E610" s="187" t="str">
        <f>VLOOKUP(Ruimtestaat[[#This Row],[Code]],Locaties[#All],6,FALSE)</f>
        <v>Oldenzaal</v>
      </c>
      <c r="F610" s="232"/>
      <c r="G610" s="202">
        <v>1</v>
      </c>
      <c r="H610" s="187"/>
      <c r="I610" s="232" t="s">
        <v>596</v>
      </c>
      <c r="J610" s="245">
        <v>10</v>
      </c>
      <c r="K610" s="245" t="str">
        <f>VLOOKUP(Ruimtestaat[[#This Row],[Ruimte code]],Ruimtegroepen[#All],2,FALSE)</f>
        <v>Trappenhuizen/lift</v>
      </c>
      <c r="L610" s="202" t="s">
        <v>108</v>
      </c>
      <c r="M610" s="187" t="s">
        <v>1201</v>
      </c>
      <c r="N610" s="200">
        <v>18</v>
      </c>
      <c r="O610" s="200"/>
      <c r="P610" s="231" t="str">
        <f>VLOOKUP(Ruimtestaat[[#This Row],[Ruimte code]],Ruimtegroepen[#All],4,FALSE)</f>
        <v>V  (Verkeersruimte)</v>
      </c>
      <c r="Q610" s="201"/>
      <c r="R610" s="202">
        <v>42</v>
      </c>
      <c r="S610" s="202" t="s">
        <v>2</v>
      </c>
      <c r="T610" s="202">
        <f>IF(R610&gt;0,IF(RIGHT(Ruimtestaat[[#This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10" s="202">
        <f>IF(T610&gt;0,VLOOKUP($J610,Ruimtegroepen[],3,FALSE)*VLOOKUP($L610,Vloersoorten[],3,FALSE)*VLOOKUP($S610,Frequenties[],3,FALSE)*VLOOKUP($A610,Locaties[],3,FALSE),0)</f>
        <v>0</v>
      </c>
      <c r="V610" s="202">
        <f>Ruimtestaat[[#This Row],[Uitvoeringen werkdagen]]*Ruimtestaat[[#This Row],[Oppervlak (netto)]]</f>
        <v>3780</v>
      </c>
      <c r="W610" s="242">
        <f>IF(U610&gt;0,Ruimtestaat[[#This Row],[Prest. (m2 /jaar) werkdagen]]/Ruimtestaat[[#This Row],[Norm (m2/uur) werkdagen]],0)</f>
        <v>0</v>
      </c>
      <c r="X610" s="243">
        <f>Ruimtestaat[[#This Row],[uren / jaar werkdagen]]*Tariefsopbouw!$D$38</f>
        <v>0</v>
      </c>
      <c r="Y610" s="33"/>
      <c r="Z610" s="33">
        <f>IF(Ruimtestaat[[#This Row],[Frequentie weekend]]&gt;0,VALUE(LEFT(Y610,1))*R610,0)</f>
        <v>0</v>
      </c>
      <c r="AA610" s="33">
        <f>IF($Z610&gt;0,VLOOKUP($J610,Ruimtegroepen[],3,FALSE)*VLOOKUP($L610,Vloersoorten[],3,FALSE)*VLOOKUP($Y610,Frequenties[],3,FALSE)*VLOOKUP(#REF!,Locaties[],3,FALSE),0)</f>
        <v>0</v>
      </c>
      <c r="AB610" s="33"/>
      <c r="AC610" s="33"/>
      <c r="AD610" s="33">
        <f>Ruimtestaat[[#This Row],[uren / jaar weekend]]*Tariefsopbouw!$D$40</f>
        <v>0</v>
      </c>
      <c r="AE610" s="86">
        <f>Ruimtestaat[[#This Row],[Prest. (m2 /jaar) weekend]]+Ruimtestaat[[#This Row],[Prest. (m2 /jaar) werkdagen]]</f>
        <v>3780</v>
      </c>
      <c r="AF610" s="86">
        <f>Ruimtestaat[[#This Row],[uren / jaar weekend]]+Ruimtestaat[[#This Row],[uren / jaar werkdagen]]</f>
        <v>0</v>
      </c>
      <c r="AG610" s="87">
        <f>Ruimtestaat[[#This Row],[kosten / jaar weekend]]+Ruimtestaat[[#This Row],[kosten / jaar werkdagen]]</f>
        <v>0</v>
      </c>
    </row>
    <row r="611" spans="1:33" ht="15" customHeight="1">
      <c r="A611" s="187">
        <v>5</v>
      </c>
      <c r="B611" s="21" t="str">
        <f>VLOOKUP(Ruimtestaat[[#This Row],[Code]],Locaties[#All],2,FALSE)</f>
        <v>Potskamp</v>
      </c>
      <c r="C611" s="231" t="str">
        <f>VLOOKUP(Ruimtestaat[[#This Row],[Code]],Locaties[#All],4,FALSE)</f>
        <v>Potskampstraat 2</v>
      </c>
      <c r="D611" s="231" t="str">
        <f>VLOOKUP(Ruimtestaat[[#This Row],[Code]],Locaties[#All],5,FALSE)</f>
        <v>7573 CC</v>
      </c>
      <c r="E611" s="187" t="str">
        <f>VLOOKUP(Ruimtestaat[[#This Row],[Code]],Locaties[#All],6,FALSE)</f>
        <v>Oldenzaal</v>
      </c>
      <c r="F611" s="232"/>
      <c r="G611" s="202">
        <v>1</v>
      </c>
      <c r="H611" s="202">
        <v>200</v>
      </c>
      <c r="I611" s="241" t="s">
        <v>590</v>
      </c>
      <c r="J611" s="245">
        <v>2</v>
      </c>
      <c r="K611" s="245" t="str">
        <f>VLOOKUP(Ruimtestaat[[#This Row],[Ruimte code]],Ruimtegroepen[#All],2,FALSE)</f>
        <v>Kantoren/kantoortuin</v>
      </c>
      <c r="L611" s="231" t="s">
        <v>1204</v>
      </c>
      <c r="M611" s="187" t="s">
        <v>1205</v>
      </c>
      <c r="N611" s="200">
        <v>20</v>
      </c>
      <c r="O611" s="200"/>
      <c r="P611" s="231" t="str">
        <f>VLOOKUP(Ruimtestaat[[#This Row],[Ruimte code]],Ruimtegroepen[#All],4,FALSE)</f>
        <v>B  (Bureauruimte)</v>
      </c>
      <c r="Q611" s="201"/>
      <c r="R611" s="202">
        <v>42</v>
      </c>
      <c r="S611" s="202" t="s">
        <v>2</v>
      </c>
      <c r="T611" s="202">
        <f>IF(R611&gt;0,IF(RIGHT(Ruimtestaat[[#This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11" s="202">
        <f>IF(T611&gt;0,VLOOKUP($J611,Ruimtegroepen[],3,FALSE)*VLOOKUP($L611,Vloersoorten[],3,FALSE)*VLOOKUP($S611,Frequenties[],3,FALSE)*VLOOKUP($A611,Locaties[],3,FALSE),0)</f>
        <v>0</v>
      </c>
      <c r="V611" s="202">
        <f>Ruimtestaat[[#This Row],[Uitvoeringen werkdagen]]*Ruimtestaat[[#This Row],[Oppervlak (netto)]]</f>
        <v>4200</v>
      </c>
      <c r="W611" s="242">
        <f>IF(U611&gt;0,Ruimtestaat[[#This Row],[Prest. (m2 /jaar) werkdagen]]/Ruimtestaat[[#This Row],[Norm (m2/uur) werkdagen]],0)</f>
        <v>0</v>
      </c>
      <c r="X611" s="243">
        <f>Ruimtestaat[[#This Row],[uren / jaar werkdagen]]*Tariefsopbouw!$D$38</f>
        <v>0</v>
      </c>
      <c r="Y611" s="33"/>
      <c r="Z611" s="33">
        <f>IF(Ruimtestaat[[#This Row],[Frequentie weekend]]&gt;0,VALUE(LEFT(Y611,1))*R611,0)</f>
        <v>0</v>
      </c>
      <c r="AA611" s="33">
        <f>IF($Z611&gt;0,VLOOKUP($J611,Ruimtegroepen[],3,FALSE)*VLOOKUP($L611,Vloersoorten[],3,FALSE)*VLOOKUP($Y611,Frequenties[],3,FALSE)*VLOOKUP(#REF!,Locaties[],3,FALSE),0)</f>
        <v>0</v>
      </c>
      <c r="AB611" s="33"/>
      <c r="AC611" s="33"/>
      <c r="AD611" s="33">
        <f>Ruimtestaat[[#This Row],[uren / jaar weekend]]*Tariefsopbouw!$D$40</f>
        <v>0</v>
      </c>
      <c r="AE611" s="86">
        <f>Ruimtestaat[[#This Row],[Prest. (m2 /jaar) weekend]]+Ruimtestaat[[#This Row],[Prest. (m2 /jaar) werkdagen]]</f>
        <v>4200</v>
      </c>
      <c r="AF611" s="86">
        <f>Ruimtestaat[[#This Row],[uren / jaar weekend]]+Ruimtestaat[[#This Row],[uren / jaar werkdagen]]</f>
        <v>0</v>
      </c>
      <c r="AG611" s="87">
        <f>Ruimtestaat[[#This Row],[kosten / jaar weekend]]+Ruimtestaat[[#This Row],[kosten / jaar werkdagen]]</f>
        <v>0</v>
      </c>
    </row>
    <row r="612" spans="1:33" ht="15" customHeight="1">
      <c r="A612" s="187">
        <v>5</v>
      </c>
      <c r="B612" s="21" t="str">
        <f>VLOOKUP(Ruimtestaat[[#This Row],[Code]],Locaties[#All],2,FALSE)</f>
        <v>Potskamp</v>
      </c>
      <c r="C612" s="231" t="str">
        <f>VLOOKUP(Ruimtestaat[[#This Row],[Code]],Locaties[#All],4,FALSE)</f>
        <v>Potskampstraat 2</v>
      </c>
      <c r="D612" s="231" t="str">
        <f>VLOOKUP(Ruimtestaat[[#This Row],[Code]],Locaties[#All],5,FALSE)</f>
        <v>7573 CC</v>
      </c>
      <c r="E612" s="187" t="str">
        <f>VLOOKUP(Ruimtestaat[[#This Row],[Code]],Locaties[#All],6,FALSE)</f>
        <v>Oldenzaal</v>
      </c>
      <c r="F612" s="232"/>
      <c r="G612" s="202">
        <v>1</v>
      </c>
      <c r="H612" s="202" t="s">
        <v>779</v>
      </c>
      <c r="I612" s="241" t="s">
        <v>590</v>
      </c>
      <c r="J612" s="187">
        <v>2</v>
      </c>
      <c r="K612" s="187" t="str">
        <f>VLOOKUP(Ruimtestaat[[#This Row],[Ruimte code]],Ruimtegroepen[#All],2,FALSE)</f>
        <v>Kantoren/kantoortuin</v>
      </c>
      <c r="L612" s="231" t="s">
        <v>1204</v>
      </c>
      <c r="M612" s="187" t="s">
        <v>1205</v>
      </c>
      <c r="N612" s="200">
        <v>23</v>
      </c>
      <c r="O612" s="200"/>
      <c r="P612" s="231" t="str">
        <f>VLOOKUP(Ruimtestaat[[#This Row],[Ruimte code]],Ruimtegroepen[#All],4,FALSE)</f>
        <v>B  (Bureauruimte)</v>
      </c>
      <c r="Q612" s="201"/>
      <c r="R612" s="202">
        <v>42</v>
      </c>
      <c r="S612" s="202" t="s">
        <v>2</v>
      </c>
      <c r="T612" s="202">
        <f>IF(R612&gt;0,IF(RIGHT(Ruimtestaat[[#This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12" s="202">
        <f>IF(T612&gt;0,VLOOKUP($J612,Ruimtegroepen[],3,FALSE)*VLOOKUP($L612,Vloersoorten[],3,FALSE)*VLOOKUP($S612,Frequenties[],3,FALSE)*VLOOKUP($A612,Locaties[],3,FALSE),0)</f>
        <v>0</v>
      </c>
      <c r="V612" s="202">
        <f>Ruimtestaat[[#This Row],[Uitvoeringen werkdagen]]*Ruimtestaat[[#This Row],[Oppervlak (netto)]]</f>
        <v>4830</v>
      </c>
      <c r="W612" s="242">
        <f>IF(U612&gt;0,Ruimtestaat[[#This Row],[Prest. (m2 /jaar) werkdagen]]/Ruimtestaat[[#This Row],[Norm (m2/uur) werkdagen]],0)</f>
        <v>0</v>
      </c>
      <c r="X612" s="243">
        <f>Ruimtestaat[[#This Row],[uren / jaar werkdagen]]*Tariefsopbouw!$D$38</f>
        <v>0</v>
      </c>
      <c r="Y612" s="33"/>
      <c r="Z612" s="33">
        <f>IF(Ruimtestaat[[#This Row],[Frequentie weekend]]&gt;0,VALUE(LEFT(Y612,1))*R612,0)</f>
        <v>0</v>
      </c>
      <c r="AA612" s="33">
        <f>IF($Z612&gt;0,VLOOKUP($J612,Ruimtegroepen[],3,FALSE)*VLOOKUP($L612,Vloersoorten[],3,FALSE)*VLOOKUP($Y612,Frequenties[],3,FALSE)*VLOOKUP(#REF!,Locaties[],3,FALSE),0)</f>
        <v>0</v>
      </c>
      <c r="AB612" s="33"/>
      <c r="AC612" s="33"/>
      <c r="AD612" s="33">
        <f>Ruimtestaat[[#This Row],[uren / jaar weekend]]*Tariefsopbouw!$D$40</f>
        <v>0</v>
      </c>
      <c r="AE612" s="86">
        <f>Ruimtestaat[[#This Row],[Prest. (m2 /jaar) weekend]]+Ruimtestaat[[#This Row],[Prest. (m2 /jaar) werkdagen]]</f>
        <v>4830</v>
      </c>
      <c r="AF612" s="86">
        <f>Ruimtestaat[[#This Row],[uren / jaar weekend]]+Ruimtestaat[[#This Row],[uren / jaar werkdagen]]</f>
        <v>0</v>
      </c>
      <c r="AG612" s="87">
        <f>Ruimtestaat[[#This Row],[kosten / jaar weekend]]+Ruimtestaat[[#This Row],[kosten / jaar werkdagen]]</f>
        <v>0</v>
      </c>
    </row>
    <row r="613" spans="1:33" ht="15" customHeight="1">
      <c r="A613" s="187">
        <v>5</v>
      </c>
      <c r="B613" s="21" t="str">
        <f>VLOOKUP(Ruimtestaat[[#This Row],[Code]],Locaties[#All],2,FALSE)</f>
        <v>Potskamp</v>
      </c>
      <c r="C613" s="231" t="str">
        <f>VLOOKUP(Ruimtestaat[[#This Row],[Code]],Locaties[#All],4,FALSE)</f>
        <v>Potskampstraat 2</v>
      </c>
      <c r="D613" s="231" t="str">
        <f>VLOOKUP(Ruimtestaat[[#This Row],[Code]],Locaties[#All],5,FALSE)</f>
        <v>7573 CC</v>
      </c>
      <c r="E613" s="187" t="str">
        <f>VLOOKUP(Ruimtestaat[[#This Row],[Code]],Locaties[#All],6,FALSE)</f>
        <v>Oldenzaal</v>
      </c>
      <c r="F613" s="232"/>
      <c r="G613" s="202">
        <v>1</v>
      </c>
      <c r="H613" s="187"/>
      <c r="I613" s="232" t="s">
        <v>698</v>
      </c>
      <c r="J613" s="187">
        <v>5</v>
      </c>
      <c r="K613" s="187" t="str">
        <f>VLOOKUP(Ruimtestaat[[#This Row],[Ruimte code]],Ruimtegroepen[#All],2,FALSE)</f>
        <v>Sanitair</v>
      </c>
      <c r="L613" s="202" t="s">
        <v>108</v>
      </c>
      <c r="M613" s="187" t="s">
        <v>1201</v>
      </c>
      <c r="N613" s="200">
        <v>14</v>
      </c>
      <c r="O613" s="200"/>
      <c r="P613" s="231" t="str">
        <f>VLOOKUP(Ruimtestaat[[#This Row],[Ruimte code]],Ruimtegroepen[#All],4,FALSE)</f>
        <v>S  (Sanitair)</v>
      </c>
      <c r="Q613" s="201"/>
      <c r="R613" s="202">
        <v>42</v>
      </c>
      <c r="S613" s="202" t="s">
        <v>19</v>
      </c>
      <c r="T613" s="202">
        <f>IF(R613&gt;0,IF(RIGHT(Ruimtestaat[[#This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613" s="202">
        <f>IF(T613&gt;0,VLOOKUP($J613,Ruimtegroepen[],3,FALSE)*VLOOKUP($L613,Vloersoorten[],3,FALSE)*VLOOKUP($S613,Frequenties[],3,FALSE)*VLOOKUP($A613,Locaties[],3,FALSE),0)</f>
        <v>0</v>
      </c>
      <c r="V613" s="202">
        <f>Ruimtestaat[[#This Row],[Uitvoeringen werkdagen]]*Ruimtestaat[[#This Row],[Oppervlak (netto)]]</f>
        <v>5880</v>
      </c>
      <c r="W613" s="242">
        <f>IF(U613&gt;0,Ruimtestaat[[#This Row],[Prest. (m2 /jaar) werkdagen]]/Ruimtestaat[[#This Row],[Norm (m2/uur) werkdagen]],0)</f>
        <v>0</v>
      </c>
      <c r="X613" s="243">
        <f>Ruimtestaat[[#This Row],[uren / jaar werkdagen]]*Tariefsopbouw!$D$38</f>
        <v>0</v>
      </c>
      <c r="Y613" s="33"/>
      <c r="Z613" s="33">
        <f>IF(Ruimtestaat[[#This Row],[Frequentie weekend]]&gt;0,VALUE(LEFT(Y613,1))*R613,0)</f>
        <v>0</v>
      </c>
      <c r="AA613" s="33">
        <f>IF($Z613&gt;0,VLOOKUP($J613,Ruimtegroepen[],3,FALSE)*VLOOKUP($L613,Vloersoorten[],3,FALSE)*VLOOKUP($Y613,Frequenties[],3,FALSE)*VLOOKUP(#REF!,Locaties[],3,FALSE),0)</f>
        <v>0</v>
      </c>
      <c r="AB613" s="33"/>
      <c r="AC613" s="33"/>
      <c r="AD613" s="33">
        <f>Ruimtestaat[[#This Row],[uren / jaar weekend]]*Tariefsopbouw!$D$40</f>
        <v>0</v>
      </c>
      <c r="AE613" s="86">
        <f>Ruimtestaat[[#This Row],[Prest. (m2 /jaar) weekend]]+Ruimtestaat[[#This Row],[Prest. (m2 /jaar) werkdagen]]</f>
        <v>5880</v>
      </c>
      <c r="AF613" s="86">
        <f>Ruimtestaat[[#This Row],[uren / jaar weekend]]+Ruimtestaat[[#This Row],[uren / jaar werkdagen]]</f>
        <v>0</v>
      </c>
      <c r="AG613" s="87">
        <f>Ruimtestaat[[#This Row],[kosten / jaar weekend]]+Ruimtestaat[[#This Row],[kosten / jaar werkdagen]]</f>
        <v>0</v>
      </c>
    </row>
    <row r="614" spans="1:33" ht="15" customHeight="1">
      <c r="A614" s="187">
        <v>5</v>
      </c>
      <c r="B614" s="21" t="str">
        <f>VLOOKUP(Ruimtestaat[[#This Row],[Code]],Locaties[#All],2,FALSE)</f>
        <v>Potskamp</v>
      </c>
      <c r="C614" s="231" t="str">
        <f>VLOOKUP(Ruimtestaat[[#This Row],[Code]],Locaties[#All],4,FALSE)</f>
        <v>Potskampstraat 2</v>
      </c>
      <c r="D614" s="231" t="str">
        <f>VLOOKUP(Ruimtestaat[[#This Row],[Code]],Locaties[#All],5,FALSE)</f>
        <v>7573 CC</v>
      </c>
      <c r="E614" s="187" t="str">
        <f>VLOOKUP(Ruimtestaat[[#This Row],[Code]],Locaties[#All],6,FALSE)</f>
        <v>Oldenzaal</v>
      </c>
      <c r="F614" s="232"/>
      <c r="G614" s="202">
        <v>1</v>
      </c>
      <c r="H614" s="187"/>
      <c r="I614" s="232" t="s">
        <v>442</v>
      </c>
      <c r="J614" s="187">
        <v>1</v>
      </c>
      <c r="K614" s="187" t="str">
        <f>VLOOKUP(Ruimtestaat[[#This Row],[Ruimte code]],Ruimtegroepen[#All],2,FALSE)</f>
        <v>Magazijnen/bergingen</v>
      </c>
      <c r="L614" s="231" t="s">
        <v>1204</v>
      </c>
      <c r="M614" s="187" t="s">
        <v>1205</v>
      </c>
      <c r="N614" s="200">
        <v>16</v>
      </c>
      <c r="O614" s="200"/>
      <c r="P614" s="231" t="str">
        <f>VLOOKUP(Ruimtestaat[[#This Row],[Ruimte code]],Ruimtegroepen[#All],4,FALSE)</f>
        <v>V  (Verkeersruimte)</v>
      </c>
      <c r="Q614" s="201"/>
      <c r="R614" s="202">
        <v>42</v>
      </c>
      <c r="S614" s="202" t="s">
        <v>15</v>
      </c>
      <c r="T614" s="202">
        <f>IF(R614&gt;0,IF(RIGHT(Ruimtestaat[[#This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614" s="202">
        <f>IF(T614&gt;0,VLOOKUP($J614,Ruimtegroepen[],3,FALSE)*VLOOKUP($L614,Vloersoorten[],3,FALSE)*VLOOKUP($S614,Frequenties[],3,FALSE)*VLOOKUP($A614,Locaties[],3,FALSE),0)</f>
        <v>0</v>
      </c>
      <c r="V614" s="202">
        <f>Ruimtestaat[[#This Row],[Uitvoeringen werkdagen]]*Ruimtestaat[[#This Row],[Oppervlak (netto)]]</f>
        <v>672</v>
      </c>
      <c r="W614" s="242">
        <f>IF(U614&gt;0,Ruimtestaat[[#This Row],[Prest. (m2 /jaar) werkdagen]]/Ruimtestaat[[#This Row],[Norm (m2/uur) werkdagen]],0)</f>
        <v>0</v>
      </c>
      <c r="X614" s="243">
        <f>Ruimtestaat[[#This Row],[uren / jaar werkdagen]]*Tariefsopbouw!$D$38</f>
        <v>0</v>
      </c>
      <c r="Y614" s="33"/>
      <c r="Z614" s="33">
        <f>IF(Ruimtestaat[[#This Row],[Frequentie weekend]]&gt;0,VALUE(LEFT(Y614,1))*R614,0)</f>
        <v>0</v>
      </c>
      <c r="AA614" s="33">
        <f>IF($Z614&gt;0,VLOOKUP($J614,Ruimtegroepen[],3,FALSE)*VLOOKUP($L614,Vloersoorten[],3,FALSE)*VLOOKUP($Y614,Frequenties[],3,FALSE)*VLOOKUP(#REF!,Locaties[],3,FALSE),0)</f>
        <v>0</v>
      </c>
      <c r="AB614" s="33"/>
      <c r="AC614" s="33"/>
      <c r="AD614" s="33">
        <f>Ruimtestaat[[#This Row],[uren / jaar weekend]]*Tariefsopbouw!$D$40</f>
        <v>0</v>
      </c>
      <c r="AE614" s="86">
        <f>Ruimtestaat[[#This Row],[Prest. (m2 /jaar) weekend]]+Ruimtestaat[[#This Row],[Prest. (m2 /jaar) werkdagen]]</f>
        <v>672</v>
      </c>
      <c r="AF614" s="86">
        <f>Ruimtestaat[[#This Row],[uren / jaar weekend]]+Ruimtestaat[[#This Row],[uren / jaar werkdagen]]</f>
        <v>0</v>
      </c>
      <c r="AG614" s="87">
        <f>Ruimtestaat[[#This Row],[kosten / jaar weekend]]+Ruimtestaat[[#This Row],[kosten / jaar werkdagen]]</f>
        <v>0</v>
      </c>
    </row>
    <row r="615" spans="1:33" ht="15" customHeight="1">
      <c r="A615" s="187">
        <v>5</v>
      </c>
      <c r="B615" s="21" t="str">
        <f>VLOOKUP(Ruimtestaat[[#This Row],[Code]],Locaties[#All],2,FALSE)</f>
        <v>Potskamp</v>
      </c>
      <c r="C615" s="231" t="str">
        <f>VLOOKUP(Ruimtestaat[[#This Row],[Code]],Locaties[#All],4,FALSE)</f>
        <v>Potskampstraat 2</v>
      </c>
      <c r="D615" s="231" t="str">
        <f>VLOOKUP(Ruimtestaat[[#This Row],[Code]],Locaties[#All],5,FALSE)</f>
        <v>7573 CC</v>
      </c>
      <c r="E615" s="187" t="str">
        <f>VLOOKUP(Ruimtestaat[[#This Row],[Code]],Locaties[#All],6,FALSE)</f>
        <v>Oldenzaal</v>
      </c>
      <c r="F615" s="232"/>
      <c r="G615" s="202">
        <v>1</v>
      </c>
      <c r="H615" s="187"/>
      <c r="I615" s="232" t="s">
        <v>372</v>
      </c>
      <c r="J615" s="187">
        <v>6</v>
      </c>
      <c r="K615" s="187" t="str">
        <f>VLOOKUP(Ruimtestaat[[#This Row],[Ruimte code]],Ruimtegroepen[#All],2,FALSE)</f>
        <v>Gangen/hallen</v>
      </c>
      <c r="L615" s="202" t="s">
        <v>108</v>
      </c>
      <c r="M615" s="187" t="s">
        <v>1201</v>
      </c>
      <c r="N615" s="200">
        <v>77</v>
      </c>
      <c r="O615" s="200"/>
      <c r="P615" s="231" t="str">
        <f>VLOOKUP(Ruimtestaat[[#This Row],[Ruimte code]],Ruimtegroepen[#All],4,FALSE)</f>
        <v>V  (Verkeersruimte)</v>
      </c>
      <c r="Q615" s="201"/>
      <c r="R615" s="202">
        <v>42</v>
      </c>
      <c r="S615" s="202" t="s">
        <v>2</v>
      </c>
      <c r="T615" s="202">
        <f>IF(R615&gt;0,IF(RIGHT(Ruimtestaat[[#This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15" s="202">
        <f>IF(T615&gt;0,VLOOKUP($J615,Ruimtegroepen[],3,FALSE)*VLOOKUP($L615,Vloersoorten[],3,FALSE)*VLOOKUP($S615,Frequenties[],3,FALSE)*VLOOKUP($A615,Locaties[],3,FALSE),0)</f>
        <v>0</v>
      </c>
      <c r="V615" s="202">
        <f>Ruimtestaat[[#This Row],[Uitvoeringen werkdagen]]*Ruimtestaat[[#This Row],[Oppervlak (netto)]]</f>
        <v>16170</v>
      </c>
      <c r="W615" s="242">
        <f>IF(U615&gt;0,Ruimtestaat[[#This Row],[Prest. (m2 /jaar) werkdagen]]/Ruimtestaat[[#This Row],[Norm (m2/uur) werkdagen]],0)</f>
        <v>0</v>
      </c>
      <c r="X615" s="243">
        <f>Ruimtestaat[[#This Row],[uren / jaar werkdagen]]*Tariefsopbouw!$D$38</f>
        <v>0</v>
      </c>
      <c r="Y615" s="33"/>
      <c r="Z615" s="33">
        <f>IF(Ruimtestaat[[#This Row],[Frequentie weekend]]&gt;0,VALUE(LEFT(Y615,1))*R615,0)</f>
        <v>0</v>
      </c>
      <c r="AA615" s="33">
        <f>IF($Z615&gt;0,VLOOKUP($J615,Ruimtegroepen[],3,FALSE)*VLOOKUP($L615,Vloersoorten[],3,FALSE)*VLOOKUP($Y615,Frequenties[],3,FALSE)*VLOOKUP(#REF!,Locaties[],3,FALSE),0)</f>
        <v>0</v>
      </c>
      <c r="AB615" s="33"/>
      <c r="AC615" s="33"/>
      <c r="AD615" s="33">
        <f>Ruimtestaat[[#This Row],[uren / jaar weekend]]*Tariefsopbouw!$D$40</f>
        <v>0</v>
      </c>
      <c r="AE615" s="86">
        <f>Ruimtestaat[[#This Row],[Prest. (m2 /jaar) weekend]]+Ruimtestaat[[#This Row],[Prest. (m2 /jaar) werkdagen]]</f>
        <v>16170</v>
      </c>
      <c r="AF615" s="86">
        <f>Ruimtestaat[[#This Row],[uren / jaar weekend]]+Ruimtestaat[[#This Row],[uren / jaar werkdagen]]</f>
        <v>0</v>
      </c>
      <c r="AG615" s="87">
        <f>Ruimtestaat[[#This Row],[kosten / jaar weekend]]+Ruimtestaat[[#This Row],[kosten / jaar werkdagen]]</f>
        <v>0</v>
      </c>
    </row>
    <row r="616" spans="1:33" ht="15" customHeight="1">
      <c r="A616" s="187">
        <v>5</v>
      </c>
      <c r="B616" s="21" t="str">
        <f>VLOOKUP(Ruimtestaat[[#This Row],[Code]],Locaties[#All],2,FALSE)</f>
        <v>Potskamp</v>
      </c>
      <c r="C616" s="231" t="str">
        <f>VLOOKUP(Ruimtestaat[[#This Row],[Code]],Locaties[#All],4,FALSE)</f>
        <v>Potskampstraat 2</v>
      </c>
      <c r="D616" s="231" t="str">
        <f>VLOOKUP(Ruimtestaat[[#This Row],[Code]],Locaties[#All],5,FALSE)</f>
        <v>7573 CC</v>
      </c>
      <c r="E616" s="187" t="str">
        <f>VLOOKUP(Ruimtestaat[[#This Row],[Code]],Locaties[#All],6,FALSE)</f>
        <v>Oldenzaal</v>
      </c>
      <c r="F616" s="232"/>
      <c r="G616" s="202">
        <v>1</v>
      </c>
      <c r="H616" s="187">
        <v>201</v>
      </c>
      <c r="I616" s="232" t="s">
        <v>604</v>
      </c>
      <c r="J616" s="187">
        <v>16</v>
      </c>
      <c r="K616" s="187" t="str">
        <f>VLOOKUP(Ruimtestaat[[#This Row],[Ruimte code]],Ruimtegroepen[#All],2,FALSE)</f>
        <v>Leslokalen/computerlokaal</v>
      </c>
      <c r="L616" s="231" t="s">
        <v>677</v>
      </c>
      <c r="M616" s="187" t="s">
        <v>1200</v>
      </c>
      <c r="N616" s="200">
        <v>64</v>
      </c>
      <c r="O616" s="200"/>
      <c r="P616" s="231" t="str">
        <f>VLOOKUP(Ruimtestaat[[#This Row],[Ruimte code]],Ruimtegroepen[#All],4,FALSE)</f>
        <v>L  (Lesruimte)</v>
      </c>
      <c r="Q616" s="201"/>
      <c r="R616" s="202">
        <v>42</v>
      </c>
      <c r="S616" s="202" t="s">
        <v>2</v>
      </c>
      <c r="T616" s="202">
        <f>IF(R616&gt;0,IF(RIGHT(Ruimtestaat[[#This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16" s="202">
        <f>IF(T616&gt;0,VLOOKUP($J616,Ruimtegroepen[],3,FALSE)*VLOOKUP($L616,Vloersoorten[],3,FALSE)*VLOOKUP($S616,Frequenties[],3,FALSE)*VLOOKUP($A616,Locaties[],3,FALSE),0)</f>
        <v>0</v>
      </c>
      <c r="V616" s="202">
        <f>Ruimtestaat[[#This Row],[Uitvoeringen werkdagen]]*Ruimtestaat[[#This Row],[Oppervlak (netto)]]</f>
        <v>13440</v>
      </c>
      <c r="W616" s="242">
        <f>IF(U616&gt;0,Ruimtestaat[[#This Row],[Prest. (m2 /jaar) werkdagen]]/Ruimtestaat[[#This Row],[Norm (m2/uur) werkdagen]],0)</f>
        <v>0</v>
      </c>
      <c r="X616" s="243">
        <f>Ruimtestaat[[#This Row],[uren / jaar werkdagen]]*Tariefsopbouw!$D$38</f>
        <v>0</v>
      </c>
      <c r="Y616" s="33"/>
      <c r="Z616" s="33">
        <f>IF(Ruimtestaat[[#This Row],[Frequentie weekend]]&gt;0,VALUE(LEFT(Y616,1))*R616,0)</f>
        <v>0</v>
      </c>
      <c r="AA616" s="33">
        <f>IF($Z616&gt;0,VLOOKUP($J616,Ruimtegroepen[],3,FALSE)*VLOOKUP($L616,Vloersoorten[],3,FALSE)*VLOOKUP($Y616,Frequenties[],3,FALSE)*VLOOKUP(#REF!,Locaties[],3,FALSE),0)</f>
        <v>0</v>
      </c>
      <c r="AB616" s="33"/>
      <c r="AC616" s="33"/>
      <c r="AD616" s="33">
        <f>Ruimtestaat[[#This Row],[uren / jaar weekend]]*Tariefsopbouw!$D$40</f>
        <v>0</v>
      </c>
      <c r="AE616" s="86">
        <f>Ruimtestaat[[#This Row],[Prest. (m2 /jaar) weekend]]+Ruimtestaat[[#This Row],[Prest. (m2 /jaar) werkdagen]]</f>
        <v>13440</v>
      </c>
      <c r="AF616" s="86">
        <f>Ruimtestaat[[#This Row],[uren / jaar weekend]]+Ruimtestaat[[#This Row],[uren / jaar werkdagen]]</f>
        <v>0</v>
      </c>
      <c r="AG616" s="87">
        <f>Ruimtestaat[[#This Row],[kosten / jaar weekend]]+Ruimtestaat[[#This Row],[kosten / jaar werkdagen]]</f>
        <v>0</v>
      </c>
    </row>
    <row r="617" spans="1:33" ht="15" customHeight="1">
      <c r="A617" s="187">
        <v>5</v>
      </c>
      <c r="B617" s="21" t="str">
        <f>VLOOKUP(Ruimtestaat[[#This Row],[Code]],Locaties[#All],2,FALSE)</f>
        <v>Potskamp</v>
      </c>
      <c r="C617" s="231" t="str">
        <f>VLOOKUP(Ruimtestaat[[#This Row],[Code]],Locaties[#All],4,FALSE)</f>
        <v>Potskampstraat 2</v>
      </c>
      <c r="D617" s="231" t="str">
        <f>VLOOKUP(Ruimtestaat[[#This Row],[Code]],Locaties[#All],5,FALSE)</f>
        <v>7573 CC</v>
      </c>
      <c r="E617" s="187" t="str">
        <f>VLOOKUP(Ruimtestaat[[#This Row],[Code]],Locaties[#All],6,FALSE)</f>
        <v>Oldenzaal</v>
      </c>
      <c r="F617" s="232"/>
      <c r="G617" s="202">
        <v>1</v>
      </c>
      <c r="H617" s="187">
        <v>202</v>
      </c>
      <c r="I617" s="232" t="s">
        <v>604</v>
      </c>
      <c r="J617" s="187">
        <v>16</v>
      </c>
      <c r="K617" s="187" t="str">
        <f>VLOOKUP(Ruimtestaat[[#This Row],[Ruimte code]],Ruimtegroepen[#All],2,FALSE)</f>
        <v>Leslokalen/computerlokaal</v>
      </c>
      <c r="L617" s="231" t="s">
        <v>677</v>
      </c>
      <c r="M617" s="187" t="s">
        <v>1200</v>
      </c>
      <c r="N617" s="200">
        <v>64</v>
      </c>
      <c r="O617" s="200"/>
      <c r="P617" s="231" t="str">
        <f>VLOOKUP(Ruimtestaat[[#This Row],[Ruimte code]],Ruimtegroepen[#All],4,FALSE)</f>
        <v>L  (Lesruimte)</v>
      </c>
      <c r="Q617" s="201"/>
      <c r="R617" s="202">
        <v>42</v>
      </c>
      <c r="S617" s="202" t="s">
        <v>2</v>
      </c>
      <c r="T617" s="202">
        <f>IF(R617&gt;0,IF(RIGHT(Ruimtestaat[[#This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17" s="202">
        <f>IF(T617&gt;0,VLOOKUP($J617,Ruimtegroepen[],3,FALSE)*VLOOKUP($L617,Vloersoorten[],3,FALSE)*VLOOKUP($S617,Frequenties[],3,FALSE)*VLOOKUP($A617,Locaties[],3,FALSE),0)</f>
        <v>0</v>
      </c>
      <c r="V617" s="202">
        <f>Ruimtestaat[[#This Row],[Uitvoeringen werkdagen]]*Ruimtestaat[[#This Row],[Oppervlak (netto)]]</f>
        <v>13440</v>
      </c>
      <c r="W617" s="242">
        <f>IF(U617&gt;0,Ruimtestaat[[#This Row],[Prest. (m2 /jaar) werkdagen]]/Ruimtestaat[[#This Row],[Norm (m2/uur) werkdagen]],0)</f>
        <v>0</v>
      </c>
      <c r="X617" s="243">
        <f>Ruimtestaat[[#This Row],[uren / jaar werkdagen]]*Tariefsopbouw!$D$38</f>
        <v>0</v>
      </c>
      <c r="Y617" s="33"/>
      <c r="Z617" s="33">
        <f>IF(Ruimtestaat[[#This Row],[Frequentie weekend]]&gt;0,VALUE(LEFT(Y617,1))*R617,0)</f>
        <v>0</v>
      </c>
      <c r="AA617" s="33">
        <f>IF($Z617&gt;0,VLOOKUP($J617,Ruimtegroepen[],3,FALSE)*VLOOKUP($L617,Vloersoorten[],3,FALSE)*VLOOKUP($Y617,Frequenties[],3,FALSE)*VLOOKUP(#REF!,Locaties[],3,FALSE),0)</f>
        <v>0</v>
      </c>
      <c r="AB617" s="33"/>
      <c r="AC617" s="33"/>
      <c r="AD617" s="33">
        <f>Ruimtestaat[[#This Row],[uren / jaar weekend]]*Tariefsopbouw!$D$40</f>
        <v>0</v>
      </c>
      <c r="AE617" s="86">
        <f>Ruimtestaat[[#This Row],[Prest. (m2 /jaar) weekend]]+Ruimtestaat[[#This Row],[Prest. (m2 /jaar) werkdagen]]</f>
        <v>13440</v>
      </c>
      <c r="AF617" s="86">
        <f>Ruimtestaat[[#This Row],[uren / jaar weekend]]+Ruimtestaat[[#This Row],[uren / jaar werkdagen]]</f>
        <v>0</v>
      </c>
      <c r="AG617" s="87">
        <f>Ruimtestaat[[#This Row],[kosten / jaar weekend]]+Ruimtestaat[[#This Row],[kosten / jaar werkdagen]]</f>
        <v>0</v>
      </c>
    </row>
    <row r="618" spans="1:33" ht="15" customHeight="1">
      <c r="A618" s="187">
        <v>5</v>
      </c>
      <c r="B618" s="21" t="str">
        <f>VLOOKUP(Ruimtestaat[[#This Row],[Code]],Locaties[#All],2,FALSE)</f>
        <v>Potskamp</v>
      </c>
      <c r="C618" s="231" t="str">
        <f>VLOOKUP(Ruimtestaat[[#This Row],[Code]],Locaties[#All],4,FALSE)</f>
        <v>Potskampstraat 2</v>
      </c>
      <c r="D618" s="231" t="str">
        <f>VLOOKUP(Ruimtestaat[[#This Row],[Code]],Locaties[#All],5,FALSE)</f>
        <v>7573 CC</v>
      </c>
      <c r="E618" s="187" t="str">
        <f>VLOOKUP(Ruimtestaat[[#This Row],[Code]],Locaties[#All],6,FALSE)</f>
        <v>Oldenzaal</v>
      </c>
      <c r="F618" s="232"/>
      <c r="G618" s="202">
        <v>1</v>
      </c>
      <c r="H618" s="187">
        <v>203</v>
      </c>
      <c r="I618" s="232" t="s">
        <v>604</v>
      </c>
      <c r="J618" s="187">
        <v>16</v>
      </c>
      <c r="K618" s="187" t="str">
        <f>VLOOKUP(Ruimtestaat[[#This Row],[Ruimte code]],Ruimtegroepen[#All],2,FALSE)</f>
        <v>Leslokalen/computerlokaal</v>
      </c>
      <c r="L618" s="231" t="s">
        <v>677</v>
      </c>
      <c r="M618" s="187" t="s">
        <v>1200</v>
      </c>
      <c r="N618" s="200">
        <v>64</v>
      </c>
      <c r="O618" s="200"/>
      <c r="P618" s="231" t="str">
        <f>VLOOKUP(Ruimtestaat[[#This Row],[Ruimte code]],Ruimtegroepen[#All],4,FALSE)</f>
        <v>L  (Lesruimte)</v>
      </c>
      <c r="Q618" s="201"/>
      <c r="R618" s="202">
        <v>42</v>
      </c>
      <c r="S618" s="202" t="s">
        <v>2</v>
      </c>
      <c r="T618" s="202">
        <f>IF(R618&gt;0,IF(RIGHT(Ruimtestaat[[#This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18" s="202">
        <f>IF(T618&gt;0,VLOOKUP($J618,Ruimtegroepen[],3,FALSE)*VLOOKUP($L618,Vloersoorten[],3,FALSE)*VLOOKUP($S618,Frequenties[],3,FALSE)*VLOOKUP($A618,Locaties[],3,FALSE),0)</f>
        <v>0</v>
      </c>
      <c r="V618" s="202">
        <f>Ruimtestaat[[#This Row],[Uitvoeringen werkdagen]]*Ruimtestaat[[#This Row],[Oppervlak (netto)]]</f>
        <v>13440</v>
      </c>
      <c r="W618" s="242">
        <f>IF(U618&gt;0,Ruimtestaat[[#This Row],[Prest. (m2 /jaar) werkdagen]]/Ruimtestaat[[#This Row],[Norm (m2/uur) werkdagen]],0)</f>
        <v>0</v>
      </c>
      <c r="X618" s="243">
        <f>Ruimtestaat[[#This Row],[uren / jaar werkdagen]]*Tariefsopbouw!$D$38</f>
        <v>0</v>
      </c>
      <c r="Y618" s="33"/>
      <c r="Z618" s="33">
        <f>IF(Ruimtestaat[[#This Row],[Frequentie weekend]]&gt;0,VALUE(LEFT(Y618,1))*R618,0)</f>
        <v>0</v>
      </c>
      <c r="AA618" s="33">
        <f>IF($Z618&gt;0,VLOOKUP($J618,Ruimtegroepen[],3,FALSE)*VLOOKUP($L618,Vloersoorten[],3,FALSE)*VLOOKUP($Y618,Frequenties[],3,FALSE)*VLOOKUP(#REF!,Locaties[],3,FALSE),0)</f>
        <v>0</v>
      </c>
      <c r="AB618" s="33"/>
      <c r="AC618" s="33"/>
      <c r="AD618" s="33">
        <f>Ruimtestaat[[#This Row],[uren / jaar weekend]]*Tariefsopbouw!$D$40</f>
        <v>0</v>
      </c>
      <c r="AE618" s="86">
        <f>Ruimtestaat[[#This Row],[Prest. (m2 /jaar) weekend]]+Ruimtestaat[[#This Row],[Prest. (m2 /jaar) werkdagen]]</f>
        <v>13440</v>
      </c>
      <c r="AF618" s="86">
        <f>Ruimtestaat[[#This Row],[uren / jaar weekend]]+Ruimtestaat[[#This Row],[uren / jaar werkdagen]]</f>
        <v>0</v>
      </c>
      <c r="AG618" s="87">
        <f>Ruimtestaat[[#This Row],[kosten / jaar weekend]]+Ruimtestaat[[#This Row],[kosten / jaar werkdagen]]</f>
        <v>0</v>
      </c>
    </row>
    <row r="619" spans="1:33" ht="15" customHeight="1">
      <c r="A619" s="187">
        <v>5</v>
      </c>
      <c r="B619" s="21" t="str">
        <f>VLOOKUP(Ruimtestaat[[#This Row],[Code]],Locaties[#All],2,FALSE)</f>
        <v>Potskamp</v>
      </c>
      <c r="C619" s="231" t="str">
        <f>VLOOKUP(Ruimtestaat[[#This Row],[Code]],Locaties[#All],4,FALSE)</f>
        <v>Potskampstraat 2</v>
      </c>
      <c r="D619" s="231" t="str">
        <f>VLOOKUP(Ruimtestaat[[#This Row],[Code]],Locaties[#All],5,FALSE)</f>
        <v>7573 CC</v>
      </c>
      <c r="E619" s="187" t="str">
        <f>VLOOKUP(Ruimtestaat[[#This Row],[Code]],Locaties[#All],6,FALSE)</f>
        <v>Oldenzaal</v>
      </c>
      <c r="F619" s="232"/>
      <c r="G619" s="202">
        <v>1</v>
      </c>
      <c r="H619" s="187">
        <v>204</v>
      </c>
      <c r="I619" s="232" t="s">
        <v>604</v>
      </c>
      <c r="J619" s="187">
        <v>16</v>
      </c>
      <c r="K619" s="187" t="str">
        <f>VLOOKUP(Ruimtestaat[[#This Row],[Ruimte code]],Ruimtegroepen[#All],2,FALSE)</f>
        <v>Leslokalen/computerlokaal</v>
      </c>
      <c r="L619" s="231" t="s">
        <v>677</v>
      </c>
      <c r="M619" s="187" t="s">
        <v>1200</v>
      </c>
      <c r="N619" s="200">
        <v>64</v>
      </c>
      <c r="O619" s="200"/>
      <c r="P619" s="231" t="str">
        <f>VLOOKUP(Ruimtestaat[[#This Row],[Ruimte code]],Ruimtegroepen[#All],4,FALSE)</f>
        <v>L  (Lesruimte)</v>
      </c>
      <c r="Q619" s="201"/>
      <c r="R619" s="202">
        <v>42</v>
      </c>
      <c r="S619" s="202" t="s">
        <v>2</v>
      </c>
      <c r="T619" s="202">
        <f>IF(R619&gt;0,IF(RIGHT(Ruimtestaat[[#This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19" s="202">
        <f>IF(T619&gt;0,VLOOKUP($J619,Ruimtegroepen[],3,FALSE)*VLOOKUP($L619,Vloersoorten[],3,FALSE)*VLOOKUP($S619,Frequenties[],3,FALSE)*VLOOKUP($A619,Locaties[],3,FALSE),0)</f>
        <v>0</v>
      </c>
      <c r="V619" s="202">
        <f>Ruimtestaat[[#This Row],[Uitvoeringen werkdagen]]*Ruimtestaat[[#This Row],[Oppervlak (netto)]]</f>
        <v>13440</v>
      </c>
      <c r="W619" s="242">
        <f>IF(U619&gt;0,Ruimtestaat[[#This Row],[Prest. (m2 /jaar) werkdagen]]/Ruimtestaat[[#This Row],[Norm (m2/uur) werkdagen]],0)</f>
        <v>0</v>
      </c>
      <c r="X619" s="243">
        <f>Ruimtestaat[[#This Row],[uren / jaar werkdagen]]*Tariefsopbouw!$D$38</f>
        <v>0</v>
      </c>
      <c r="Y619" s="33"/>
      <c r="Z619" s="33">
        <f>IF(Ruimtestaat[[#This Row],[Frequentie weekend]]&gt;0,VALUE(LEFT(Y619,1))*R619,0)</f>
        <v>0</v>
      </c>
      <c r="AA619" s="33">
        <f>IF($Z619&gt;0,VLOOKUP($J619,Ruimtegroepen[],3,FALSE)*VLOOKUP($L619,Vloersoorten[],3,FALSE)*VLOOKUP($Y619,Frequenties[],3,FALSE)*VLOOKUP(#REF!,Locaties[],3,FALSE),0)</f>
        <v>0</v>
      </c>
      <c r="AB619" s="33"/>
      <c r="AC619" s="33"/>
      <c r="AD619" s="33">
        <f>Ruimtestaat[[#This Row],[uren / jaar weekend]]*Tariefsopbouw!$D$40</f>
        <v>0</v>
      </c>
      <c r="AE619" s="86">
        <f>Ruimtestaat[[#This Row],[Prest. (m2 /jaar) weekend]]+Ruimtestaat[[#This Row],[Prest. (m2 /jaar) werkdagen]]</f>
        <v>13440</v>
      </c>
      <c r="AF619" s="86">
        <f>Ruimtestaat[[#This Row],[uren / jaar weekend]]+Ruimtestaat[[#This Row],[uren / jaar werkdagen]]</f>
        <v>0</v>
      </c>
      <c r="AG619" s="87">
        <f>Ruimtestaat[[#This Row],[kosten / jaar weekend]]+Ruimtestaat[[#This Row],[kosten / jaar werkdagen]]</f>
        <v>0</v>
      </c>
    </row>
    <row r="620" spans="1:33" ht="15" customHeight="1">
      <c r="A620" s="187">
        <v>5</v>
      </c>
      <c r="B620" s="21" t="str">
        <f>VLOOKUP(Ruimtestaat[[#This Row],[Code]],Locaties[#All],2,FALSE)</f>
        <v>Potskamp</v>
      </c>
      <c r="C620" s="231" t="str">
        <f>VLOOKUP(Ruimtestaat[[#This Row],[Code]],Locaties[#All],4,FALSE)</f>
        <v>Potskampstraat 2</v>
      </c>
      <c r="D620" s="231" t="str">
        <f>VLOOKUP(Ruimtestaat[[#This Row],[Code]],Locaties[#All],5,FALSE)</f>
        <v>7573 CC</v>
      </c>
      <c r="E620" s="187" t="str">
        <f>VLOOKUP(Ruimtestaat[[#This Row],[Code]],Locaties[#All],6,FALSE)</f>
        <v>Oldenzaal</v>
      </c>
      <c r="F620" s="232"/>
      <c r="G620" s="202">
        <v>1</v>
      </c>
      <c r="H620" s="187">
        <v>205</v>
      </c>
      <c r="I620" s="232" t="s">
        <v>604</v>
      </c>
      <c r="J620" s="231">
        <v>16</v>
      </c>
      <c r="K620" s="231" t="str">
        <f>VLOOKUP(Ruimtestaat[[#This Row],[Ruimte code]],Ruimtegroepen[#All],2,FALSE)</f>
        <v>Leslokalen/computerlokaal</v>
      </c>
      <c r="L620" s="231" t="s">
        <v>677</v>
      </c>
      <c r="M620" s="187" t="s">
        <v>1200</v>
      </c>
      <c r="N620" s="200">
        <v>64</v>
      </c>
      <c r="O620" s="200"/>
      <c r="P620" s="231" t="str">
        <f>VLOOKUP(Ruimtestaat[[#This Row],[Ruimte code]],Ruimtegroepen[#All],4,FALSE)</f>
        <v>L  (Lesruimte)</v>
      </c>
      <c r="Q620" s="201"/>
      <c r="R620" s="202">
        <v>42</v>
      </c>
      <c r="S620" s="202" t="s">
        <v>2</v>
      </c>
      <c r="T620" s="202">
        <f>IF(R620&gt;0,IF(RIGHT(Ruimtestaat[[#This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20" s="202">
        <f>IF(T620&gt;0,VLOOKUP($J620,Ruimtegroepen[],3,FALSE)*VLOOKUP($L620,Vloersoorten[],3,FALSE)*VLOOKUP($S620,Frequenties[],3,FALSE)*VLOOKUP($A620,Locaties[],3,FALSE),0)</f>
        <v>0</v>
      </c>
      <c r="V620" s="202">
        <f>Ruimtestaat[[#This Row],[Uitvoeringen werkdagen]]*Ruimtestaat[[#This Row],[Oppervlak (netto)]]</f>
        <v>13440</v>
      </c>
      <c r="W620" s="242">
        <f>IF(U620&gt;0,Ruimtestaat[[#This Row],[Prest. (m2 /jaar) werkdagen]]/Ruimtestaat[[#This Row],[Norm (m2/uur) werkdagen]],0)</f>
        <v>0</v>
      </c>
      <c r="X620" s="243">
        <f>Ruimtestaat[[#This Row],[uren / jaar werkdagen]]*Tariefsopbouw!$D$38</f>
        <v>0</v>
      </c>
      <c r="Y620" s="33"/>
      <c r="Z620" s="33">
        <f>IF(Ruimtestaat[[#This Row],[Frequentie weekend]]&gt;0,VALUE(LEFT(Y620,1))*R620,0)</f>
        <v>0</v>
      </c>
      <c r="AA620" s="33">
        <f>IF($Z620&gt;0,VLOOKUP($J620,Ruimtegroepen[],3,FALSE)*VLOOKUP($L620,Vloersoorten[],3,FALSE)*VLOOKUP($Y620,Frequenties[],3,FALSE)*VLOOKUP(#REF!,Locaties[],3,FALSE),0)</f>
        <v>0</v>
      </c>
      <c r="AB620" s="33"/>
      <c r="AC620" s="33"/>
      <c r="AD620" s="33">
        <f>Ruimtestaat[[#This Row],[uren / jaar weekend]]*Tariefsopbouw!$D$40</f>
        <v>0</v>
      </c>
      <c r="AE620" s="86">
        <f>Ruimtestaat[[#This Row],[Prest. (m2 /jaar) weekend]]+Ruimtestaat[[#This Row],[Prest. (m2 /jaar) werkdagen]]</f>
        <v>13440</v>
      </c>
      <c r="AF620" s="86">
        <f>Ruimtestaat[[#This Row],[uren / jaar weekend]]+Ruimtestaat[[#This Row],[uren / jaar werkdagen]]</f>
        <v>0</v>
      </c>
      <c r="AG620" s="87">
        <f>Ruimtestaat[[#This Row],[kosten / jaar weekend]]+Ruimtestaat[[#This Row],[kosten / jaar werkdagen]]</f>
        <v>0</v>
      </c>
    </row>
    <row r="621" spans="1:33" ht="15" customHeight="1">
      <c r="A621" s="187">
        <v>5</v>
      </c>
      <c r="B621" s="21" t="str">
        <f>VLOOKUP(Ruimtestaat[[#This Row],[Code]],Locaties[#All],2,FALSE)</f>
        <v>Potskamp</v>
      </c>
      <c r="C621" s="231" t="str">
        <f>VLOOKUP(Ruimtestaat[[#This Row],[Code]],Locaties[#All],4,FALSE)</f>
        <v>Potskampstraat 2</v>
      </c>
      <c r="D621" s="231" t="str">
        <f>VLOOKUP(Ruimtestaat[[#This Row],[Code]],Locaties[#All],5,FALSE)</f>
        <v>7573 CC</v>
      </c>
      <c r="E621" s="187" t="str">
        <f>VLOOKUP(Ruimtestaat[[#This Row],[Code]],Locaties[#All],6,FALSE)</f>
        <v>Oldenzaal</v>
      </c>
      <c r="F621" s="232"/>
      <c r="G621" s="202">
        <v>1</v>
      </c>
      <c r="H621" s="187">
        <v>206</v>
      </c>
      <c r="I621" s="232" t="s">
        <v>604</v>
      </c>
      <c r="J621" s="187">
        <v>16</v>
      </c>
      <c r="K621" s="187" t="str">
        <f>VLOOKUP(Ruimtestaat[[#This Row],[Ruimte code]],Ruimtegroepen[#All],2,FALSE)</f>
        <v>Leslokalen/computerlokaal</v>
      </c>
      <c r="L621" s="231" t="s">
        <v>677</v>
      </c>
      <c r="M621" s="187" t="s">
        <v>1200</v>
      </c>
      <c r="N621" s="200">
        <v>96</v>
      </c>
      <c r="O621" s="200"/>
      <c r="P621" s="231" t="str">
        <f>VLOOKUP(Ruimtestaat[[#This Row],[Ruimte code]],Ruimtegroepen[#All],4,FALSE)</f>
        <v>L  (Lesruimte)</v>
      </c>
      <c r="Q621" s="201"/>
      <c r="R621" s="202">
        <v>42</v>
      </c>
      <c r="S621" s="202" t="s">
        <v>2</v>
      </c>
      <c r="T621" s="202">
        <f>IF(R621&gt;0,IF(RIGHT(Ruimtestaat[[#This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21" s="202">
        <f>IF(T621&gt;0,VLOOKUP($J621,Ruimtegroepen[],3,FALSE)*VLOOKUP($L621,Vloersoorten[],3,FALSE)*VLOOKUP($S621,Frequenties[],3,FALSE)*VLOOKUP($A621,Locaties[],3,FALSE),0)</f>
        <v>0</v>
      </c>
      <c r="V621" s="202">
        <f>Ruimtestaat[[#This Row],[Uitvoeringen werkdagen]]*Ruimtestaat[[#This Row],[Oppervlak (netto)]]</f>
        <v>20160</v>
      </c>
      <c r="W621" s="242">
        <f>IF(U621&gt;0,Ruimtestaat[[#This Row],[Prest. (m2 /jaar) werkdagen]]/Ruimtestaat[[#This Row],[Norm (m2/uur) werkdagen]],0)</f>
        <v>0</v>
      </c>
      <c r="X621" s="243">
        <f>Ruimtestaat[[#This Row],[uren / jaar werkdagen]]*Tariefsopbouw!$D$38</f>
        <v>0</v>
      </c>
      <c r="Y621" s="33"/>
      <c r="Z621" s="33">
        <f>IF(Ruimtestaat[[#This Row],[Frequentie weekend]]&gt;0,VALUE(LEFT(Y621,1))*R621,0)</f>
        <v>0</v>
      </c>
      <c r="AA621" s="33">
        <f>IF($Z621&gt;0,VLOOKUP($J621,Ruimtegroepen[],3,FALSE)*VLOOKUP($L621,Vloersoorten[],3,FALSE)*VLOOKUP($Y621,Frequenties[],3,FALSE)*VLOOKUP(#REF!,Locaties[],3,FALSE),0)</f>
        <v>0</v>
      </c>
      <c r="AB621" s="33"/>
      <c r="AC621" s="33"/>
      <c r="AD621" s="33">
        <f>Ruimtestaat[[#This Row],[uren / jaar weekend]]*Tariefsopbouw!$D$40</f>
        <v>0</v>
      </c>
      <c r="AE621" s="86">
        <f>Ruimtestaat[[#This Row],[Prest. (m2 /jaar) weekend]]+Ruimtestaat[[#This Row],[Prest. (m2 /jaar) werkdagen]]</f>
        <v>20160</v>
      </c>
      <c r="AF621" s="86">
        <f>Ruimtestaat[[#This Row],[uren / jaar weekend]]+Ruimtestaat[[#This Row],[uren / jaar werkdagen]]</f>
        <v>0</v>
      </c>
      <c r="AG621" s="87">
        <f>Ruimtestaat[[#This Row],[kosten / jaar weekend]]+Ruimtestaat[[#This Row],[kosten / jaar werkdagen]]</f>
        <v>0</v>
      </c>
    </row>
    <row r="622" spans="1:33" ht="15" customHeight="1">
      <c r="A622" s="187">
        <v>5</v>
      </c>
      <c r="B622" s="21" t="str">
        <f>VLOOKUP(Ruimtestaat[[#This Row],[Code]],Locaties[#All],2,FALSE)</f>
        <v>Potskamp</v>
      </c>
      <c r="C622" s="231" t="str">
        <f>VLOOKUP(Ruimtestaat[[#This Row],[Code]],Locaties[#All],4,FALSE)</f>
        <v>Potskampstraat 2</v>
      </c>
      <c r="D622" s="231" t="str">
        <f>VLOOKUP(Ruimtestaat[[#This Row],[Code]],Locaties[#All],5,FALSE)</f>
        <v>7573 CC</v>
      </c>
      <c r="E622" s="187" t="str">
        <f>VLOOKUP(Ruimtestaat[[#This Row],[Code]],Locaties[#All],6,FALSE)</f>
        <v>Oldenzaal</v>
      </c>
      <c r="F622" s="232"/>
      <c r="G622" s="202">
        <v>1</v>
      </c>
      <c r="H622" s="187"/>
      <c r="I622" s="232" t="s">
        <v>372</v>
      </c>
      <c r="J622" s="187">
        <v>6</v>
      </c>
      <c r="K622" s="187" t="str">
        <f>VLOOKUP(Ruimtestaat[[#This Row],[Ruimte code]],Ruimtegroepen[#All],2,FALSE)</f>
        <v>Gangen/hallen</v>
      </c>
      <c r="L622" s="202" t="s">
        <v>108</v>
      </c>
      <c r="M622" s="187" t="s">
        <v>1201</v>
      </c>
      <c r="N622" s="200">
        <v>77</v>
      </c>
      <c r="O622" s="200"/>
      <c r="P622" s="231" t="str">
        <f>VLOOKUP(Ruimtestaat[[#This Row],[Ruimte code]],Ruimtegroepen[#All],4,FALSE)</f>
        <v>V  (Verkeersruimte)</v>
      </c>
      <c r="Q622" s="201"/>
      <c r="R622" s="202">
        <v>42</v>
      </c>
      <c r="S622" s="202" t="s">
        <v>2</v>
      </c>
      <c r="T622" s="202">
        <f>IF(R622&gt;0,IF(RIGHT(Ruimtestaat[[#This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22" s="202">
        <f>IF(T622&gt;0,VLOOKUP($J622,Ruimtegroepen[],3,FALSE)*VLOOKUP($L622,Vloersoorten[],3,FALSE)*VLOOKUP($S622,Frequenties[],3,FALSE)*VLOOKUP($A622,Locaties[],3,FALSE),0)</f>
        <v>0</v>
      </c>
      <c r="V622" s="202">
        <f>Ruimtestaat[[#This Row],[Uitvoeringen werkdagen]]*Ruimtestaat[[#This Row],[Oppervlak (netto)]]</f>
        <v>16170</v>
      </c>
      <c r="W622" s="242">
        <f>IF(U622&gt;0,Ruimtestaat[[#This Row],[Prest. (m2 /jaar) werkdagen]]/Ruimtestaat[[#This Row],[Norm (m2/uur) werkdagen]],0)</f>
        <v>0</v>
      </c>
      <c r="X622" s="243">
        <f>Ruimtestaat[[#This Row],[uren / jaar werkdagen]]*Tariefsopbouw!$D$38</f>
        <v>0</v>
      </c>
      <c r="Y622" s="33"/>
      <c r="Z622" s="33">
        <f>IF(Ruimtestaat[[#This Row],[Frequentie weekend]]&gt;0,VALUE(LEFT(Y622,1))*R622,0)</f>
        <v>0</v>
      </c>
      <c r="AA622" s="33">
        <f>IF($Z622&gt;0,VLOOKUP($J622,Ruimtegroepen[],3,FALSE)*VLOOKUP($L622,Vloersoorten[],3,FALSE)*VLOOKUP($Y622,Frequenties[],3,FALSE)*VLOOKUP(#REF!,Locaties[],3,FALSE),0)</f>
        <v>0</v>
      </c>
      <c r="AB622" s="33"/>
      <c r="AC622" s="33"/>
      <c r="AD622" s="33">
        <f>Ruimtestaat[[#This Row],[uren / jaar weekend]]*Tariefsopbouw!$D$40</f>
        <v>0</v>
      </c>
      <c r="AE622" s="86">
        <f>Ruimtestaat[[#This Row],[Prest. (m2 /jaar) weekend]]+Ruimtestaat[[#This Row],[Prest. (m2 /jaar) werkdagen]]</f>
        <v>16170</v>
      </c>
      <c r="AF622" s="86">
        <f>Ruimtestaat[[#This Row],[uren / jaar weekend]]+Ruimtestaat[[#This Row],[uren / jaar werkdagen]]</f>
        <v>0</v>
      </c>
      <c r="AG622" s="87">
        <f>Ruimtestaat[[#This Row],[kosten / jaar weekend]]+Ruimtestaat[[#This Row],[kosten / jaar werkdagen]]</f>
        <v>0</v>
      </c>
    </row>
    <row r="623" spans="1:33" ht="15" customHeight="1">
      <c r="A623" s="187">
        <v>5</v>
      </c>
      <c r="B623" s="21" t="str">
        <f>VLOOKUP(Ruimtestaat[[#This Row],[Code]],Locaties[#All],2,FALSE)</f>
        <v>Potskamp</v>
      </c>
      <c r="C623" s="231" t="str">
        <f>VLOOKUP(Ruimtestaat[[#This Row],[Code]],Locaties[#All],4,FALSE)</f>
        <v>Potskampstraat 2</v>
      </c>
      <c r="D623" s="231" t="str">
        <f>VLOOKUP(Ruimtestaat[[#This Row],[Code]],Locaties[#All],5,FALSE)</f>
        <v>7573 CC</v>
      </c>
      <c r="E623" s="187" t="str">
        <f>VLOOKUP(Ruimtestaat[[#This Row],[Code]],Locaties[#All],6,FALSE)</f>
        <v>Oldenzaal</v>
      </c>
      <c r="F623" s="232"/>
      <c r="G623" s="202">
        <v>1</v>
      </c>
      <c r="H623" s="187">
        <v>207</v>
      </c>
      <c r="I623" s="232" t="s">
        <v>590</v>
      </c>
      <c r="J623" s="202">
        <v>2</v>
      </c>
      <c r="K623" s="202" t="str">
        <f>VLOOKUP(Ruimtestaat[[#This Row],[Ruimte code]],Ruimtegroepen[#All],2,FALSE)</f>
        <v>Kantoren/kantoortuin</v>
      </c>
      <c r="L623" s="231" t="s">
        <v>1204</v>
      </c>
      <c r="M623" s="187" t="s">
        <v>1205</v>
      </c>
      <c r="N623" s="200">
        <v>32</v>
      </c>
      <c r="O623" s="200"/>
      <c r="P623" s="231" t="str">
        <f>VLOOKUP(Ruimtestaat[[#This Row],[Ruimte code]],Ruimtegroepen[#All],4,FALSE)</f>
        <v>B  (Bureauruimte)</v>
      </c>
      <c r="Q623" s="201"/>
      <c r="R623" s="202">
        <v>42</v>
      </c>
      <c r="S623" s="202" t="s">
        <v>2</v>
      </c>
      <c r="T623" s="202">
        <f>IF(R623&gt;0,IF(RIGHT(Ruimtestaat[[#This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23" s="202">
        <f>IF(T623&gt;0,VLOOKUP($J623,Ruimtegroepen[],3,FALSE)*VLOOKUP($L623,Vloersoorten[],3,FALSE)*VLOOKUP($S623,Frequenties[],3,FALSE)*VLOOKUP($A623,Locaties[],3,FALSE),0)</f>
        <v>0</v>
      </c>
      <c r="V623" s="202">
        <f>Ruimtestaat[[#This Row],[Uitvoeringen werkdagen]]*Ruimtestaat[[#This Row],[Oppervlak (netto)]]</f>
        <v>6720</v>
      </c>
      <c r="W623" s="242">
        <f>IF(U623&gt;0,Ruimtestaat[[#This Row],[Prest. (m2 /jaar) werkdagen]]/Ruimtestaat[[#This Row],[Norm (m2/uur) werkdagen]],0)</f>
        <v>0</v>
      </c>
      <c r="X623" s="243">
        <f>Ruimtestaat[[#This Row],[uren / jaar werkdagen]]*Tariefsopbouw!$D$38</f>
        <v>0</v>
      </c>
      <c r="Y623" s="33"/>
      <c r="Z623" s="33">
        <f>IF(Ruimtestaat[[#This Row],[Frequentie weekend]]&gt;0,VALUE(LEFT(Y623,1))*R623,0)</f>
        <v>0</v>
      </c>
      <c r="AA623" s="33">
        <f>IF($Z623&gt;0,VLOOKUP($J623,Ruimtegroepen[],3,FALSE)*VLOOKUP($L623,Vloersoorten[],3,FALSE)*VLOOKUP($Y623,Frequenties[],3,FALSE)*VLOOKUP(#REF!,Locaties[],3,FALSE),0)</f>
        <v>0</v>
      </c>
      <c r="AB623" s="33"/>
      <c r="AC623" s="33"/>
      <c r="AD623" s="33">
        <f>Ruimtestaat[[#This Row],[uren / jaar weekend]]*Tariefsopbouw!$D$40</f>
        <v>0</v>
      </c>
      <c r="AE623" s="86">
        <f>Ruimtestaat[[#This Row],[Prest. (m2 /jaar) weekend]]+Ruimtestaat[[#This Row],[Prest. (m2 /jaar) werkdagen]]</f>
        <v>6720</v>
      </c>
      <c r="AF623" s="86">
        <f>Ruimtestaat[[#This Row],[uren / jaar weekend]]+Ruimtestaat[[#This Row],[uren / jaar werkdagen]]</f>
        <v>0</v>
      </c>
      <c r="AG623" s="87">
        <f>Ruimtestaat[[#This Row],[kosten / jaar weekend]]+Ruimtestaat[[#This Row],[kosten / jaar werkdagen]]</f>
        <v>0</v>
      </c>
    </row>
    <row r="624" spans="1:33" ht="15" customHeight="1">
      <c r="A624" s="187">
        <v>5</v>
      </c>
      <c r="B624" s="21" t="str">
        <f>VLOOKUP(Ruimtestaat[[#This Row],[Code]],Locaties[#All],2,FALSE)</f>
        <v>Potskamp</v>
      </c>
      <c r="C624" s="231" t="str">
        <f>VLOOKUP(Ruimtestaat[[#This Row],[Code]],Locaties[#All],4,FALSE)</f>
        <v>Potskampstraat 2</v>
      </c>
      <c r="D624" s="231" t="str">
        <f>VLOOKUP(Ruimtestaat[[#This Row],[Code]],Locaties[#All],5,FALSE)</f>
        <v>7573 CC</v>
      </c>
      <c r="E624" s="187" t="str">
        <f>VLOOKUP(Ruimtestaat[[#This Row],[Code]],Locaties[#All],6,FALSE)</f>
        <v>Oldenzaal</v>
      </c>
      <c r="F624" s="232"/>
      <c r="G624" s="187">
        <v>1</v>
      </c>
      <c r="H624" s="187"/>
      <c r="I624" s="232" t="s">
        <v>372</v>
      </c>
      <c r="J624" s="187">
        <v>6</v>
      </c>
      <c r="K624" s="187" t="str">
        <f>VLOOKUP(Ruimtestaat[[#This Row],[Ruimte code]],Ruimtegroepen[#All],2,FALSE)</f>
        <v>Gangen/hallen</v>
      </c>
      <c r="L624" s="202" t="s">
        <v>108</v>
      </c>
      <c r="M624" s="187" t="s">
        <v>1201</v>
      </c>
      <c r="N624" s="200">
        <v>32</v>
      </c>
      <c r="O624" s="200"/>
      <c r="P624" s="231" t="str">
        <f>VLOOKUP(Ruimtestaat[[#This Row],[Ruimte code]],Ruimtegroepen[#All],4,FALSE)</f>
        <v>V  (Verkeersruimte)</v>
      </c>
      <c r="Q624" s="201"/>
      <c r="R624" s="202">
        <v>42</v>
      </c>
      <c r="S624" s="202" t="s">
        <v>2</v>
      </c>
      <c r="T624" s="202">
        <f>IF(R624&gt;0,IF(RIGHT(Ruimtestaat[[#This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24" s="202">
        <f>IF(T624&gt;0,VLOOKUP($J624,Ruimtegroepen[],3,FALSE)*VLOOKUP($L624,Vloersoorten[],3,FALSE)*VLOOKUP($S624,Frequenties[],3,FALSE)*VLOOKUP($A624,Locaties[],3,FALSE),0)</f>
        <v>0</v>
      </c>
      <c r="V624" s="202">
        <f>Ruimtestaat[[#This Row],[Uitvoeringen werkdagen]]*Ruimtestaat[[#This Row],[Oppervlak (netto)]]</f>
        <v>6720</v>
      </c>
      <c r="W624" s="242">
        <f>IF(U624&gt;0,Ruimtestaat[[#This Row],[Prest. (m2 /jaar) werkdagen]]/Ruimtestaat[[#This Row],[Norm (m2/uur) werkdagen]],0)</f>
        <v>0</v>
      </c>
      <c r="X624" s="243">
        <f>Ruimtestaat[[#This Row],[uren / jaar werkdagen]]*Tariefsopbouw!$D$38</f>
        <v>0</v>
      </c>
      <c r="Y624" s="33"/>
      <c r="Z624" s="33">
        <f>IF(Ruimtestaat[[#This Row],[Frequentie weekend]]&gt;0,VALUE(LEFT(Y624,1))*R624,0)</f>
        <v>0</v>
      </c>
      <c r="AA624" s="33">
        <f>IF($Z624&gt;0,VLOOKUP($J624,Ruimtegroepen[],3,FALSE)*VLOOKUP($L624,Vloersoorten[],3,FALSE)*VLOOKUP($Y624,Frequenties[],3,FALSE)*VLOOKUP(#REF!,Locaties[],3,FALSE),0)</f>
        <v>0</v>
      </c>
      <c r="AB624" s="33"/>
      <c r="AC624" s="33"/>
      <c r="AD624" s="33">
        <f>Ruimtestaat[[#This Row],[uren / jaar weekend]]*Tariefsopbouw!$D$40</f>
        <v>0</v>
      </c>
      <c r="AE624" s="86">
        <f>Ruimtestaat[[#This Row],[Prest. (m2 /jaar) weekend]]+Ruimtestaat[[#This Row],[Prest. (m2 /jaar) werkdagen]]</f>
        <v>6720</v>
      </c>
      <c r="AF624" s="86">
        <f>Ruimtestaat[[#This Row],[uren / jaar weekend]]+Ruimtestaat[[#This Row],[uren / jaar werkdagen]]</f>
        <v>0</v>
      </c>
      <c r="AG624" s="87">
        <f>Ruimtestaat[[#This Row],[kosten / jaar weekend]]+Ruimtestaat[[#This Row],[kosten / jaar werkdagen]]</f>
        <v>0</v>
      </c>
    </row>
    <row r="625" spans="1:33" ht="15" customHeight="1">
      <c r="A625" s="187">
        <v>5</v>
      </c>
      <c r="B625" s="21" t="str">
        <f>VLOOKUP(Ruimtestaat[[#This Row],[Code]],Locaties[#All],2,FALSE)</f>
        <v>Potskamp</v>
      </c>
      <c r="C625" s="231" t="str">
        <f>VLOOKUP(Ruimtestaat[[#This Row],[Code]],Locaties[#All],4,FALSE)</f>
        <v>Potskampstraat 2</v>
      </c>
      <c r="D625" s="231" t="str">
        <f>VLOOKUP(Ruimtestaat[[#This Row],[Code]],Locaties[#All],5,FALSE)</f>
        <v>7573 CC</v>
      </c>
      <c r="E625" s="187" t="str">
        <f>VLOOKUP(Ruimtestaat[[#This Row],[Code]],Locaties[#All],6,FALSE)</f>
        <v>Oldenzaal</v>
      </c>
      <c r="F625" s="232"/>
      <c r="G625" s="187">
        <v>1</v>
      </c>
      <c r="H625" s="187"/>
      <c r="I625" s="232" t="s">
        <v>596</v>
      </c>
      <c r="J625" s="187">
        <v>10</v>
      </c>
      <c r="K625" s="187" t="str">
        <f>VLOOKUP(Ruimtestaat[[#This Row],[Ruimte code]],Ruimtegroepen[#All],2,FALSE)</f>
        <v>Trappenhuizen/lift</v>
      </c>
      <c r="L625" s="202" t="s">
        <v>108</v>
      </c>
      <c r="M625" s="187" t="s">
        <v>1201</v>
      </c>
      <c r="N625" s="200">
        <v>30</v>
      </c>
      <c r="O625" s="200"/>
      <c r="P625" s="231" t="str">
        <f>VLOOKUP(Ruimtestaat[[#This Row],[Ruimte code]],Ruimtegroepen[#All],4,FALSE)</f>
        <v>V  (Verkeersruimte)</v>
      </c>
      <c r="Q625" s="201"/>
      <c r="R625" s="202">
        <v>42</v>
      </c>
      <c r="S625" s="202" t="s">
        <v>2</v>
      </c>
      <c r="T625" s="202">
        <f>IF(R625&gt;0,IF(RIGHT(Ruimtestaat[[#This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25" s="202">
        <f>IF(T625&gt;0,VLOOKUP($J625,Ruimtegroepen[],3,FALSE)*VLOOKUP($L625,Vloersoorten[],3,FALSE)*VLOOKUP($S625,Frequenties[],3,FALSE)*VLOOKUP($A625,Locaties[],3,FALSE),0)</f>
        <v>0</v>
      </c>
      <c r="V625" s="202">
        <f>Ruimtestaat[[#This Row],[Uitvoeringen werkdagen]]*Ruimtestaat[[#This Row],[Oppervlak (netto)]]</f>
        <v>6300</v>
      </c>
      <c r="W625" s="242">
        <f>IF(U625&gt;0,Ruimtestaat[[#This Row],[Prest. (m2 /jaar) werkdagen]]/Ruimtestaat[[#This Row],[Norm (m2/uur) werkdagen]],0)</f>
        <v>0</v>
      </c>
      <c r="X625" s="243">
        <f>Ruimtestaat[[#This Row],[uren / jaar werkdagen]]*Tariefsopbouw!$D$38</f>
        <v>0</v>
      </c>
      <c r="Y625" s="33"/>
      <c r="Z625" s="33">
        <f>IF(Ruimtestaat[[#This Row],[Frequentie weekend]]&gt;0,VALUE(LEFT(Y625,1))*R625,0)</f>
        <v>0</v>
      </c>
      <c r="AA625" s="33">
        <f>IF($Z625&gt;0,VLOOKUP($J625,Ruimtegroepen[],3,FALSE)*VLOOKUP($L625,Vloersoorten[],3,FALSE)*VLOOKUP($Y625,Frequenties[],3,FALSE)*VLOOKUP(#REF!,Locaties[],3,FALSE),0)</f>
        <v>0</v>
      </c>
      <c r="AB625" s="33"/>
      <c r="AC625" s="33"/>
      <c r="AD625" s="33">
        <f>Ruimtestaat[[#This Row],[uren / jaar weekend]]*Tariefsopbouw!$D$40</f>
        <v>0</v>
      </c>
      <c r="AE625" s="86">
        <f>Ruimtestaat[[#This Row],[Prest. (m2 /jaar) weekend]]+Ruimtestaat[[#This Row],[Prest. (m2 /jaar) werkdagen]]</f>
        <v>6300</v>
      </c>
      <c r="AF625" s="86">
        <f>Ruimtestaat[[#This Row],[uren / jaar weekend]]+Ruimtestaat[[#This Row],[uren / jaar werkdagen]]</f>
        <v>0</v>
      </c>
      <c r="AG625" s="87">
        <f>Ruimtestaat[[#This Row],[kosten / jaar weekend]]+Ruimtestaat[[#This Row],[kosten / jaar werkdagen]]</f>
        <v>0</v>
      </c>
    </row>
    <row r="626" spans="1:33" ht="15" customHeight="1">
      <c r="A626" s="187">
        <v>5</v>
      </c>
      <c r="B626" s="21" t="str">
        <f>VLOOKUP(Ruimtestaat[[#This Row],[Code]],Locaties[#All],2,FALSE)</f>
        <v>Potskamp</v>
      </c>
      <c r="C626" s="231" t="str">
        <f>VLOOKUP(Ruimtestaat[[#This Row],[Code]],Locaties[#All],4,FALSE)</f>
        <v>Potskampstraat 2</v>
      </c>
      <c r="D626" s="231" t="str">
        <f>VLOOKUP(Ruimtestaat[[#This Row],[Code]],Locaties[#All],5,FALSE)</f>
        <v>7573 CC</v>
      </c>
      <c r="E626" s="187" t="str">
        <f>VLOOKUP(Ruimtestaat[[#This Row],[Code]],Locaties[#All],6,FALSE)</f>
        <v>Oldenzaal</v>
      </c>
      <c r="F626" s="232"/>
      <c r="G626" s="187">
        <v>1</v>
      </c>
      <c r="H626" s="187">
        <v>208</v>
      </c>
      <c r="I626" s="232" t="s">
        <v>590</v>
      </c>
      <c r="J626" s="231">
        <v>2</v>
      </c>
      <c r="K626" s="231" t="str">
        <f>VLOOKUP(Ruimtestaat[[#This Row],[Ruimte code]],Ruimtegroepen[#All],2,FALSE)</f>
        <v>Kantoren/kantoortuin</v>
      </c>
      <c r="L626" s="231" t="s">
        <v>1204</v>
      </c>
      <c r="M626" s="187" t="s">
        <v>1205</v>
      </c>
      <c r="N626" s="200">
        <v>32</v>
      </c>
      <c r="O626" s="200"/>
      <c r="P626" s="231" t="str">
        <f>VLOOKUP(Ruimtestaat[[#This Row],[Ruimte code]],Ruimtegroepen[#All],4,FALSE)</f>
        <v>B  (Bureauruimte)</v>
      </c>
      <c r="Q626" s="201"/>
      <c r="R626" s="202">
        <v>42</v>
      </c>
      <c r="S626" s="202" t="s">
        <v>2</v>
      </c>
      <c r="T626" s="202">
        <f>IF(R626&gt;0,IF(RIGHT(Ruimtestaat[[#This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26" s="202">
        <f>IF(T626&gt;0,VLOOKUP($J626,Ruimtegroepen[],3,FALSE)*VLOOKUP($L626,Vloersoorten[],3,FALSE)*VLOOKUP($S626,Frequenties[],3,FALSE)*VLOOKUP($A626,Locaties[],3,FALSE),0)</f>
        <v>0</v>
      </c>
      <c r="V626" s="202">
        <f>Ruimtestaat[[#This Row],[Uitvoeringen werkdagen]]*Ruimtestaat[[#This Row],[Oppervlak (netto)]]</f>
        <v>6720</v>
      </c>
      <c r="W626" s="242">
        <f>IF(U626&gt;0,Ruimtestaat[[#This Row],[Prest. (m2 /jaar) werkdagen]]/Ruimtestaat[[#This Row],[Norm (m2/uur) werkdagen]],0)</f>
        <v>0</v>
      </c>
      <c r="X626" s="243">
        <f>Ruimtestaat[[#This Row],[uren / jaar werkdagen]]*Tariefsopbouw!$D$38</f>
        <v>0</v>
      </c>
      <c r="Y626" s="33"/>
      <c r="Z626" s="33">
        <f>IF(Ruimtestaat[[#This Row],[Frequentie weekend]]&gt;0,VALUE(LEFT(Y626,1))*R626,0)</f>
        <v>0</v>
      </c>
      <c r="AA626" s="33">
        <f>IF($Z626&gt;0,VLOOKUP($J626,Ruimtegroepen[],3,FALSE)*VLOOKUP($L626,Vloersoorten[],3,FALSE)*VLOOKUP($Y626,Frequenties[],3,FALSE)*VLOOKUP(#REF!,Locaties[],3,FALSE),0)</f>
        <v>0</v>
      </c>
      <c r="AB626" s="33"/>
      <c r="AC626" s="33"/>
      <c r="AD626" s="33">
        <f>Ruimtestaat[[#This Row],[uren / jaar weekend]]*Tariefsopbouw!$D$40</f>
        <v>0</v>
      </c>
      <c r="AE626" s="86">
        <f>Ruimtestaat[[#This Row],[Prest. (m2 /jaar) weekend]]+Ruimtestaat[[#This Row],[Prest. (m2 /jaar) werkdagen]]</f>
        <v>6720</v>
      </c>
      <c r="AF626" s="86">
        <f>Ruimtestaat[[#This Row],[uren / jaar weekend]]+Ruimtestaat[[#This Row],[uren / jaar werkdagen]]</f>
        <v>0</v>
      </c>
      <c r="AG626" s="87">
        <f>Ruimtestaat[[#This Row],[kosten / jaar weekend]]+Ruimtestaat[[#This Row],[kosten / jaar werkdagen]]</f>
        <v>0</v>
      </c>
    </row>
    <row r="627" spans="1:33" ht="15" customHeight="1">
      <c r="A627" s="187">
        <v>5</v>
      </c>
      <c r="B627" s="21" t="str">
        <f>VLOOKUP(Ruimtestaat[[#This Row],[Code]],Locaties[#All],2,FALSE)</f>
        <v>Potskamp</v>
      </c>
      <c r="C627" s="231" t="str">
        <f>VLOOKUP(Ruimtestaat[[#This Row],[Code]],Locaties[#All],4,FALSE)</f>
        <v>Potskampstraat 2</v>
      </c>
      <c r="D627" s="231" t="str">
        <f>VLOOKUP(Ruimtestaat[[#This Row],[Code]],Locaties[#All],5,FALSE)</f>
        <v>7573 CC</v>
      </c>
      <c r="E627" s="187" t="str">
        <f>VLOOKUP(Ruimtestaat[[#This Row],[Code]],Locaties[#All],6,FALSE)</f>
        <v>Oldenzaal</v>
      </c>
      <c r="F627" s="232"/>
      <c r="G627" s="187">
        <v>1</v>
      </c>
      <c r="H627" s="187"/>
      <c r="I627" s="232" t="s">
        <v>629</v>
      </c>
      <c r="J627" s="231">
        <v>6</v>
      </c>
      <c r="K627" s="231" t="str">
        <f>VLOOKUP(Ruimtestaat[[#This Row],[Ruimte code]],Ruimtegroepen[#All],2,FALSE)</f>
        <v>Gangen/hallen</v>
      </c>
      <c r="L627" s="202" t="s">
        <v>108</v>
      </c>
      <c r="M627" s="187" t="s">
        <v>1209</v>
      </c>
      <c r="N627" s="200">
        <v>28</v>
      </c>
      <c r="O627" s="200"/>
      <c r="P627" s="231" t="str">
        <f>VLOOKUP(Ruimtestaat[[#This Row],[Ruimte code]],Ruimtegroepen[#All],4,FALSE)</f>
        <v>V  (Verkeersruimte)</v>
      </c>
      <c r="Q627" s="201"/>
      <c r="R627" s="202">
        <v>42</v>
      </c>
      <c r="S627" s="202" t="s">
        <v>2</v>
      </c>
      <c r="T627" s="202">
        <f>IF(R627&gt;0,IF(RIGHT(Ruimtestaat[[#This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27" s="202">
        <f>IF(T627&gt;0,VLOOKUP($J627,Ruimtegroepen[],3,FALSE)*VLOOKUP($L627,Vloersoorten[],3,FALSE)*VLOOKUP($S627,Frequenties[],3,FALSE)*VLOOKUP($A627,Locaties[],3,FALSE),0)</f>
        <v>0</v>
      </c>
      <c r="V627" s="202">
        <f>Ruimtestaat[[#This Row],[Uitvoeringen werkdagen]]*Ruimtestaat[[#This Row],[Oppervlak (netto)]]</f>
        <v>5880</v>
      </c>
      <c r="W627" s="242">
        <f>IF(U627&gt;0,Ruimtestaat[[#This Row],[Prest. (m2 /jaar) werkdagen]]/Ruimtestaat[[#This Row],[Norm (m2/uur) werkdagen]],0)</f>
        <v>0</v>
      </c>
      <c r="X627" s="243">
        <f>Ruimtestaat[[#This Row],[uren / jaar werkdagen]]*Tariefsopbouw!$D$38</f>
        <v>0</v>
      </c>
      <c r="Y627" s="33"/>
      <c r="Z627" s="33">
        <f>IF(Ruimtestaat[[#This Row],[Frequentie weekend]]&gt;0,VALUE(LEFT(Y627,1))*R627,0)</f>
        <v>0</v>
      </c>
      <c r="AA627" s="33">
        <f>IF($Z627&gt;0,VLOOKUP($J627,Ruimtegroepen[],3,FALSE)*VLOOKUP($L627,Vloersoorten[],3,FALSE)*VLOOKUP($Y627,Frequenties[],3,FALSE)*VLOOKUP(#REF!,Locaties[],3,FALSE),0)</f>
        <v>0</v>
      </c>
      <c r="AB627" s="33"/>
      <c r="AC627" s="33"/>
      <c r="AD627" s="33">
        <f>Ruimtestaat[[#This Row],[uren / jaar weekend]]*Tariefsopbouw!$D$40</f>
        <v>0</v>
      </c>
      <c r="AE627" s="86">
        <f>Ruimtestaat[[#This Row],[Prest. (m2 /jaar) weekend]]+Ruimtestaat[[#This Row],[Prest. (m2 /jaar) werkdagen]]</f>
        <v>5880</v>
      </c>
      <c r="AF627" s="86">
        <f>Ruimtestaat[[#This Row],[uren / jaar weekend]]+Ruimtestaat[[#This Row],[uren / jaar werkdagen]]</f>
        <v>0</v>
      </c>
      <c r="AG627" s="87">
        <f>Ruimtestaat[[#This Row],[kosten / jaar weekend]]+Ruimtestaat[[#This Row],[kosten / jaar werkdagen]]</f>
        <v>0</v>
      </c>
    </row>
    <row r="628" spans="1:33" ht="15" customHeight="1">
      <c r="A628" s="187">
        <v>5</v>
      </c>
      <c r="B628" s="21" t="str">
        <f>VLOOKUP(Ruimtestaat[[#This Row],[Code]],Locaties[#All],2,FALSE)</f>
        <v>Potskamp</v>
      </c>
      <c r="C628" s="231" t="str">
        <f>VLOOKUP(Ruimtestaat[[#This Row],[Code]],Locaties[#All],4,FALSE)</f>
        <v>Potskampstraat 2</v>
      </c>
      <c r="D628" s="231" t="str">
        <f>VLOOKUP(Ruimtestaat[[#This Row],[Code]],Locaties[#All],5,FALSE)</f>
        <v>7573 CC</v>
      </c>
      <c r="E628" s="187" t="str">
        <f>VLOOKUP(Ruimtestaat[[#This Row],[Code]],Locaties[#All],6,FALSE)</f>
        <v>Oldenzaal</v>
      </c>
      <c r="F628" s="232"/>
      <c r="G628" s="187">
        <v>1</v>
      </c>
      <c r="H628" s="187"/>
      <c r="I628" s="232" t="s">
        <v>589</v>
      </c>
      <c r="J628" s="231">
        <v>7</v>
      </c>
      <c r="K628" s="231" t="str">
        <f>VLOOKUP(Ruimtestaat[[#This Row],[Ruimte code]],Ruimtegroepen[#All],2,FALSE)</f>
        <v>Entree / buitenentree</v>
      </c>
      <c r="L628" s="202" t="s">
        <v>108</v>
      </c>
      <c r="M628" s="187" t="s">
        <v>1211</v>
      </c>
      <c r="N628" s="200">
        <v>20</v>
      </c>
      <c r="O628" s="200"/>
      <c r="P628" s="231" t="str">
        <f>VLOOKUP(Ruimtestaat[[#This Row],[Ruimte code]],Ruimtegroepen[#All],4,FALSE)</f>
        <v>V  (Verkeersruimte)</v>
      </c>
      <c r="Q628" s="201"/>
      <c r="R628" s="202">
        <v>42</v>
      </c>
      <c r="S628" s="202" t="s">
        <v>2</v>
      </c>
      <c r="T628" s="202">
        <f>IF(R628&gt;0,IF(RIGHT(Ruimtestaat[[#This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28" s="202">
        <f>IF(T628&gt;0,VLOOKUP($J628,Ruimtegroepen[],3,FALSE)*VLOOKUP($L628,Vloersoorten[],3,FALSE)*VLOOKUP($S628,Frequenties[],3,FALSE)*VLOOKUP($A628,Locaties[],3,FALSE),0)</f>
        <v>0</v>
      </c>
      <c r="V628" s="202">
        <f>Ruimtestaat[[#This Row],[Uitvoeringen werkdagen]]*Ruimtestaat[[#This Row],[Oppervlak (netto)]]</f>
        <v>4200</v>
      </c>
      <c r="W628" s="242">
        <f>IF(U628&gt;0,Ruimtestaat[[#This Row],[Prest. (m2 /jaar) werkdagen]]/Ruimtestaat[[#This Row],[Norm (m2/uur) werkdagen]],0)</f>
        <v>0</v>
      </c>
      <c r="X628" s="243">
        <f>Ruimtestaat[[#This Row],[uren / jaar werkdagen]]*Tariefsopbouw!$D$38</f>
        <v>0</v>
      </c>
      <c r="Y628" s="33"/>
      <c r="Z628" s="33">
        <f>IF(Ruimtestaat[[#This Row],[Frequentie weekend]]&gt;0,VALUE(LEFT(Y628,1))*R628,0)</f>
        <v>0</v>
      </c>
      <c r="AA628" s="33">
        <f>IF($Z628&gt;0,VLOOKUP($J628,Ruimtegroepen[],3,FALSE)*VLOOKUP($L628,Vloersoorten[],3,FALSE)*VLOOKUP($Y628,Frequenties[],3,FALSE)*VLOOKUP(#REF!,Locaties[],3,FALSE),0)</f>
        <v>0</v>
      </c>
      <c r="AB628" s="33"/>
      <c r="AC628" s="33"/>
      <c r="AD628" s="33">
        <f>Ruimtestaat[[#This Row],[uren / jaar weekend]]*Tariefsopbouw!$D$40</f>
        <v>0</v>
      </c>
      <c r="AE628" s="86">
        <f>Ruimtestaat[[#This Row],[Prest. (m2 /jaar) weekend]]+Ruimtestaat[[#This Row],[Prest. (m2 /jaar) werkdagen]]</f>
        <v>4200</v>
      </c>
      <c r="AF628" s="86">
        <f>Ruimtestaat[[#This Row],[uren / jaar weekend]]+Ruimtestaat[[#This Row],[uren / jaar werkdagen]]</f>
        <v>0</v>
      </c>
      <c r="AG628" s="87">
        <f>Ruimtestaat[[#This Row],[kosten / jaar weekend]]+Ruimtestaat[[#This Row],[kosten / jaar werkdagen]]</f>
        <v>0</v>
      </c>
    </row>
    <row r="629" spans="1:33" ht="15" customHeight="1">
      <c r="A629" s="187">
        <v>5</v>
      </c>
      <c r="B629" s="21" t="str">
        <f>VLOOKUP(Ruimtestaat[[#This Row],[Code]],Locaties[#All],2,FALSE)</f>
        <v>Potskamp</v>
      </c>
      <c r="C629" s="231" t="str">
        <f>VLOOKUP(Ruimtestaat[[#This Row],[Code]],Locaties[#All],4,FALSE)</f>
        <v>Potskampstraat 2</v>
      </c>
      <c r="D629" s="231" t="str">
        <f>VLOOKUP(Ruimtestaat[[#This Row],[Code]],Locaties[#All],5,FALSE)</f>
        <v>7573 CC</v>
      </c>
      <c r="E629" s="187" t="str">
        <f>VLOOKUP(Ruimtestaat[[#This Row],[Code]],Locaties[#All],6,FALSE)</f>
        <v>Oldenzaal</v>
      </c>
      <c r="F629" s="232"/>
      <c r="G629" s="187">
        <v>1</v>
      </c>
      <c r="H629" s="187"/>
      <c r="I629" s="232" t="s">
        <v>596</v>
      </c>
      <c r="J629" s="231">
        <v>10</v>
      </c>
      <c r="K629" s="231" t="str">
        <f>VLOOKUP(Ruimtestaat[[#This Row],[Ruimte code]],Ruimtegroepen[#All],2,FALSE)</f>
        <v>Trappenhuizen/lift</v>
      </c>
      <c r="L629" s="202" t="s">
        <v>108</v>
      </c>
      <c r="M629" s="187" t="s">
        <v>1201</v>
      </c>
      <c r="N629" s="200">
        <v>30</v>
      </c>
      <c r="O629" s="200"/>
      <c r="P629" s="231" t="str">
        <f>VLOOKUP(Ruimtestaat[[#This Row],[Ruimte code]],Ruimtegroepen[#All],4,FALSE)</f>
        <v>V  (Verkeersruimte)</v>
      </c>
      <c r="Q629" s="201"/>
      <c r="R629" s="202">
        <v>42</v>
      </c>
      <c r="S629" s="202" t="s">
        <v>2</v>
      </c>
      <c r="T629" s="202">
        <f>IF(R629&gt;0,IF(RIGHT(Ruimtestaat[[#This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29" s="202">
        <f>IF(T629&gt;0,VLOOKUP($J629,Ruimtegroepen[],3,FALSE)*VLOOKUP($L629,Vloersoorten[],3,FALSE)*VLOOKUP($S629,Frequenties[],3,FALSE)*VLOOKUP($A629,Locaties[],3,FALSE),0)</f>
        <v>0</v>
      </c>
      <c r="V629" s="202">
        <f>Ruimtestaat[[#This Row],[Uitvoeringen werkdagen]]*Ruimtestaat[[#This Row],[Oppervlak (netto)]]</f>
        <v>6300</v>
      </c>
      <c r="W629" s="242">
        <f>IF(U629&gt;0,Ruimtestaat[[#This Row],[Prest. (m2 /jaar) werkdagen]]/Ruimtestaat[[#This Row],[Norm (m2/uur) werkdagen]],0)</f>
        <v>0</v>
      </c>
      <c r="X629" s="243">
        <f>Ruimtestaat[[#This Row],[uren / jaar werkdagen]]*Tariefsopbouw!$D$38</f>
        <v>0</v>
      </c>
      <c r="Y629" s="33"/>
      <c r="Z629" s="33">
        <f>IF(Ruimtestaat[[#This Row],[Frequentie weekend]]&gt;0,VALUE(LEFT(Y629,1))*R629,0)</f>
        <v>0</v>
      </c>
      <c r="AA629" s="33">
        <f>IF($Z629&gt;0,VLOOKUP($J629,Ruimtegroepen[],3,FALSE)*VLOOKUP($L629,Vloersoorten[],3,FALSE)*VLOOKUP($Y629,Frequenties[],3,FALSE)*VLOOKUP(#REF!,Locaties[],3,FALSE),0)</f>
        <v>0</v>
      </c>
      <c r="AB629" s="33"/>
      <c r="AC629" s="33"/>
      <c r="AD629" s="33">
        <f>Ruimtestaat[[#This Row],[uren / jaar weekend]]*Tariefsopbouw!$D$40</f>
        <v>0</v>
      </c>
      <c r="AE629" s="86">
        <f>Ruimtestaat[[#This Row],[Prest. (m2 /jaar) weekend]]+Ruimtestaat[[#This Row],[Prest. (m2 /jaar) werkdagen]]</f>
        <v>6300</v>
      </c>
      <c r="AF629" s="86">
        <f>Ruimtestaat[[#This Row],[uren / jaar weekend]]+Ruimtestaat[[#This Row],[uren / jaar werkdagen]]</f>
        <v>0</v>
      </c>
      <c r="AG629" s="87">
        <f>Ruimtestaat[[#This Row],[kosten / jaar weekend]]+Ruimtestaat[[#This Row],[kosten / jaar werkdagen]]</f>
        <v>0</v>
      </c>
    </row>
    <row r="630" spans="1:33" ht="15" customHeight="1">
      <c r="A630" s="187">
        <v>5</v>
      </c>
      <c r="B630" s="21" t="str">
        <f>VLOOKUP(Ruimtestaat[[#This Row],[Code]],Locaties[#All],2,FALSE)</f>
        <v>Potskamp</v>
      </c>
      <c r="C630" s="231" t="str">
        <f>VLOOKUP(Ruimtestaat[[#This Row],[Code]],Locaties[#All],4,FALSE)</f>
        <v>Potskampstraat 2</v>
      </c>
      <c r="D630" s="231" t="str">
        <f>VLOOKUP(Ruimtestaat[[#This Row],[Code]],Locaties[#All],5,FALSE)</f>
        <v>7573 CC</v>
      </c>
      <c r="E630" s="187" t="str">
        <f>VLOOKUP(Ruimtestaat[[#This Row],[Code]],Locaties[#All],6,FALSE)</f>
        <v>Oldenzaal</v>
      </c>
      <c r="F630" s="232"/>
      <c r="G630" s="187">
        <v>1</v>
      </c>
      <c r="H630" s="187"/>
      <c r="I630" s="232" t="s">
        <v>596</v>
      </c>
      <c r="J630" s="187">
        <v>10</v>
      </c>
      <c r="K630" s="187" t="str">
        <f>VLOOKUP(Ruimtestaat[[#This Row],[Ruimte code]],Ruimtegroepen[#All],2,FALSE)</f>
        <v>Trappenhuizen/lift</v>
      </c>
      <c r="L630" s="202" t="s">
        <v>108</v>
      </c>
      <c r="M630" s="187" t="s">
        <v>1201</v>
      </c>
      <c r="N630" s="200">
        <v>14</v>
      </c>
      <c r="O630" s="200"/>
      <c r="P630" s="231" t="str">
        <f>VLOOKUP(Ruimtestaat[[#This Row],[Ruimte code]],Ruimtegroepen[#All],4,FALSE)</f>
        <v>V  (Verkeersruimte)</v>
      </c>
      <c r="Q630" s="201"/>
      <c r="R630" s="202">
        <v>42</v>
      </c>
      <c r="S630" s="202" t="s">
        <v>2</v>
      </c>
      <c r="T630" s="202">
        <f>IF(R630&gt;0,IF(RIGHT(Ruimtestaat[[#This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30" s="202">
        <f>IF(T630&gt;0,VLOOKUP($J630,Ruimtegroepen[],3,FALSE)*VLOOKUP($L630,Vloersoorten[],3,FALSE)*VLOOKUP($S630,Frequenties[],3,FALSE)*VLOOKUP($A630,Locaties[],3,FALSE),0)</f>
        <v>0</v>
      </c>
      <c r="V630" s="202">
        <f>Ruimtestaat[[#This Row],[Uitvoeringen werkdagen]]*Ruimtestaat[[#This Row],[Oppervlak (netto)]]</f>
        <v>2940</v>
      </c>
      <c r="W630" s="242">
        <f>IF(U630&gt;0,Ruimtestaat[[#This Row],[Prest. (m2 /jaar) werkdagen]]/Ruimtestaat[[#This Row],[Norm (m2/uur) werkdagen]],0)</f>
        <v>0</v>
      </c>
      <c r="X630" s="243">
        <f>Ruimtestaat[[#This Row],[uren / jaar werkdagen]]*Tariefsopbouw!$D$38</f>
        <v>0</v>
      </c>
      <c r="Y630" s="33"/>
      <c r="Z630" s="33">
        <f>IF(Ruimtestaat[[#This Row],[Frequentie weekend]]&gt;0,VALUE(LEFT(Y630,1))*R630,0)</f>
        <v>0</v>
      </c>
      <c r="AA630" s="33">
        <f>IF($Z630&gt;0,VLOOKUP($J630,Ruimtegroepen[],3,FALSE)*VLOOKUP($L630,Vloersoorten[],3,FALSE)*VLOOKUP($Y630,Frequenties[],3,FALSE)*VLOOKUP(#REF!,Locaties[],3,FALSE),0)</f>
        <v>0</v>
      </c>
      <c r="AB630" s="33"/>
      <c r="AC630" s="33"/>
      <c r="AD630" s="33">
        <f>Ruimtestaat[[#This Row],[uren / jaar weekend]]*Tariefsopbouw!$D$40</f>
        <v>0</v>
      </c>
      <c r="AE630" s="86">
        <f>Ruimtestaat[[#This Row],[Prest. (m2 /jaar) weekend]]+Ruimtestaat[[#This Row],[Prest. (m2 /jaar) werkdagen]]</f>
        <v>2940</v>
      </c>
      <c r="AF630" s="86">
        <f>Ruimtestaat[[#This Row],[uren / jaar weekend]]+Ruimtestaat[[#This Row],[uren / jaar werkdagen]]</f>
        <v>0</v>
      </c>
      <c r="AG630" s="87">
        <f>Ruimtestaat[[#This Row],[kosten / jaar weekend]]+Ruimtestaat[[#This Row],[kosten / jaar werkdagen]]</f>
        <v>0</v>
      </c>
    </row>
    <row r="631" spans="1:33" ht="15" customHeight="1">
      <c r="A631" s="187">
        <v>5</v>
      </c>
      <c r="B631" s="21" t="str">
        <f>VLOOKUP(Ruimtestaat[[#This Row],[Code]],Locaties[#All],2,FALSE)</f>
        <v>Potskamp</v>
      </c>
      <c r="C631" s="231" t="str">
        <f>VLOOKUP(Ruimtestaat[[#This Row],[Code]],Locaties[#All],4,FALSE)</f>
        <v>Potskampstraat 2</v>
      </c>
      <c r="D631" s="231" t="str">
        <f>VLOOKUP(Ruimtestaat[[#This Row],[Code]],Locaties[#All],5,FALSE)</f>
        <v>7573 CC</v>
      </c>
      <c r="E631" s="187" t="str">
        <f>VLOOKUP(Ruimtestaat[[#This Row],[Code]],Locaties[#All],6,FALSE)</f>
        <v>Oldenzaal</v>
      </c>
      <c r="F631" s="232"/>
      <c r="G631" s="187">
        <v>1</v>
      </c>
      <c r="H631" s="187"/>
      <c r="I631" s="232" t="s">
        <v>629</v>
      </c>
      <c r="J631" s="187">
        <v>6</v>
      </c>
      <c r="K631" s="187" t="str">
        <f>VLOOKUP(Ruimtestaat[[#This Row],[Ruimte code]],Ruimtegroepen[#All],2,FALSE)</f>
        <v>Gangen/hallen</v>
      </c>
      <c r="L631" s="202" t="s">
        <v>108</v>
      </c>
      <c r="M631" s="187" t="s">
        <v>1209</v>
      </c>
      <c r="N631" s="200">
        <v>48</v>
      </c>
      <c r="O631" s="200"/>
      <c r="P631" s="231" t="str">
        <f>VLOOKUP(Ruimtestaat[[#This Row],[Ruimte code]],Ruimtegroepen[#All],4,FALSE)</f>
        <v>V  (Verkeersruimte)</v>
      </c>
      <c r="Q631" s="201"/>
      <c r="R631" s="202">
        <v>42</v>
      </c>
      <c r="S631" s="202" t="s">
        <v>2</v>
      </c>
      <c r="T631" s="202">
        <f>IF(R631&gt;0,IF(RIGHT(Ruimtestaat[[#This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31" s="202">
        <f>IF(T631&gt;0,VLOOKUP($J631,Ruimtegroepen[],3,FALSE)*VLOOKUP($L631,Vloersoorten[],3,FALSE)*VLOOKUP($S631,Frequenties[],3,FALSE)*VLOOKUP($A631,Locaties[],3,FALSE),0)</f>
        <v>0</v>
      </c>
      <c r="V631" s="202">
        <f>Ruimtestaat[[#This Row],[Uitvoeringen werkdagen]]*Ruimtestaat[[#This Row],[Oppervlak (netto)]]</f>
        <v>10080</v>
      </c>
      <c r="W631" s="242">
        <f>IF(U631&gt;0,Ruimtestaat[[#This Row],[Prest. (m2 /jaar) werkdagen]]/Ruimtestaat[[#This Row],[Norm (m2/uur) werkdagen]],0)</f>
        <v>0</v>
      </c>
      <c r="X631" s="243">
        <f>Ruimtestaat[[#This Row],[uren / jaar werkdagen]]*Tariefsopbouw!$D$38</f>
        <v>0</v>
      </c>
      <c r="Y631" s="33"/>
      <c r="Z631" s="33">
        <f>IF(Ruimtestaat[[#This Row],[Frequentie weekend]]&gt;0,VALUE(LEFT(Y631,1))*R631,0)</f>
        <v>0</v>
      </c>
      <c r="AA631" s="33">
        <f>IF($Z631&gt;0,VLOOKUP($J631,Ruimtegroepen[],3,FALSE)*VLOOKUP($L631,Vloersoorten[],3,FALSE)*VLOOKUP($Y631,Frequenties[],3,FALSE)*VLOOKUP(#REF!,Locaties[],3,FALSE),0)</f>
        <v>0</v>
      </c>
      <c r="AB631" s="33"/>
      <c r="AC631" s="33"/>
      <c r="AD631" s="33">
        <f>Ruimtestaat[[#This Row],[uren / jaar weekend]]*Tariefsopbouw!$D$40</f>
        <v>0</v>
      </c>
      <c r="AE631" s="86">
        <f>Ruimtestaat[[#This Row],[Prest. (m2 /jaar) weekend]]+Ruimtestaat[[#This Row],[Prest. (m2 /jaar) werkdagen]]</f>
        <v>10080</v>
      </c>
      <c r="AF631" s="86">
        <f>Ruimtestaat[[#This Row],[uren / jaar weekend]]+Ruimtestaat[[#This Row],[uren / jaar werkdagen]]</f>
        <v>0</v>
      </c>
      <c r="AG631" s="87">
        <f>Ruimtestaat[[#This Row],[kosten / jaar weekend]]+Ruimtestaat[[#This Row],[kosten / jaar werkdagen]]</f>
        <v>0</v>
      </c>
    </row>
    <row r="632" spans="1:33" ht="15" customHeight="1">
      <c r="A632" s="187">
        <v>5</v>
      </c>
      <c r="B632" s="21" t="str">
        <f>VLOOKUP(Ruimtestaat[[#This Row],[Code]],Locaties[#All],2,FALSE)</f>
        <v>Potskamp</v>
      </c>
      <c r="C632" s="231" t="str">
        <f>VLOOKUP(Ruimtestaat[[#This Row],[Code]],Locaties[#All],4,FALSE)</f>
        <v>Potskampstraat 2</v>
      </c>
      <c r="D632" s="231" t="str">
        <f>VLOOKUP(Ruimtestaat[[#This Row],[Code]],Locaties[#All],5,FALSE)</f>
        <v>7573 CC</v>
      </c>
      <c r="E632" s="187" t="str">
        <f>VLOOKUP(Ruimtestaat[[#This Row],[Code]],Locaties[#All],6,FALSE)</f>
        <v>Oldenzaal</v>
      </c>
      <c r="F632" s="232"/>
      <c r="G632" s="187">
        <v>2</v>
      </c>
      <c r="H632" s="187"/>
      <c r="I632" s="232" t="s">
        <v>473</v>
      </c>
      <c r="J632" s="231">
        <v>10</v>
      </c>
      <c r="K632" s="231" t="str">
        <f>VLOOKUP(Ruimtestaat[[#This Row],[Ruimte code]],Ruimtegroepen[#All],2,FALSE)</f>
        <v>Trappenhuizen/lift</v>
      </c>
      <c r="L632" s="202" t="s">
        <v>108</v>
      </c>
      <c r="M632" s="187" t="s">
        <v>1201</v>
      </c>
      <c r="N632" s="200">
        <v>24</v>
      </c>
      <c r="O632" s="200"/>
      <c r="P632" s="231" t="str">
        <f>VLOOKUP(Ruimtestaat[[#This Row],[Ruimte code]],Ruimtegroepen[#All],4,FALSE)</f>
        <v>V  (Verkeersruimte)</v>
      </c>
      <c r="Q632" s="201"/>
      <c r="R632" s="202">
        <v>42</v>
      </c>
      <c r="S632" s="202" t="s">
        <v>2</v>
      </c>
      <c r="T632" s="202">
        <f>IF(R632&gt;0,IF(RIGHT(Ruimtestaat[[#This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32" s="202">
        <f>IF(T632&gt;0,VLOOKUP($J632,Ruimtegroepen[],3,FALSE)*VLOOKUP($L632,Vloersoorten[],3,FALSE)*VLOOKUP($S632,Frequenties[],3,FALSE)*VLOOKUP($A632,Locaties[],3,FALSE),0)</f>
        <v>0</v>
      </c>
      <c r="V632" s="202">
        <f>Ruimtestaat[[#This Row],[Uitvoeringen werkdagen]]*Ruimtestaat[[#This Row],[Oppervlak (netto)]]</f>
        <v>5040</v>
      </c>
      <c r="W632" s="242">
        <f>IF(U632&gt;0,Ruimtestaat[[#This Row],[Prest. (m2 /jaar) werkdagen]]/Ruimtestaat[[#This Row],[Norm (m2/uur) werkdagen]],0)</f>
        <v>0</v>
      </c>
      <c r="X632" s="243">
        <f>Ruimtestaat[[#This Row],[uren / jaar werkdagen]]*Tariefsopbouw!$D$38</f>
        <v>0</v>
      </c>
      <c r="Y632" s="33"/>
      <c r="Z632" s="33">
        <f>IF(Ruimtestaat[[#This Row],[Frequentie weekend]]&gt;0,VALUE(LEFT(Y632,1))*R632,0)</f>
        <v>0</v>
      </c>
      <c r="AA632" s="33">
        <f>IF($Z632&gt;0,VLOOKUP($J632,Ruimtegroepen[],3,FALSE)*VLOOKUP($L632,Vloersoorten[],3,FALSE)*VLOOKUP($Y632,Frequenties[],3,FALSE)*VLOOKUP(#REF!,Locaties[],3,FALSE),0)</f>
        <v>0</v>
      </c>
      <c r="AB632" s="33"/>
      <c r="AC632" s="33"/>
      <c r="AD632" s="33">
        <f>Ruimtestaat[[#This Row],[uren / jaar weekend]]*Tariefsopbouw!$D$40</f>
        <v>0</v>
      </c>
      <c r="AE632" s="86">
        <f>Ruimtestaat[[#This Row],[Prest. (m2 /jaar) weekend]]+Ruimtestaat[[#This Row],[Prest. (m2 /jaar) werkdagen]]</f>
        <v>5040</v>
      </c>
      <c r="AF632" s="86">
        <f>Ruimtestaat[[#This Row],[uren / jaar weekend]]+Ruimtestaat[[#This Row],[uren / jaar werkdagen]]</f>
        <v>0</v>
      </c>
      <c r="AG632" s="87">
        <f>Ruimtestaat[[#This Row],[kosten / jaar weekend]]+Ruimtestaat[[#This Row],[kosten / jaar werkdagen]]</f>
        <v>0</v>
      </c>
    </row>
    <row r="633" spans="1:33" ht="15" customHeight="1">
      <c r="A633" s="187">
        <v>5</v>
      </c>
      <c r="B633" s="21" t="str">
        <f>VLOOKUP(Ruimtestaat[[#This Row],[Code]],Locaties[#All],2,FALSE)</f>
        <v>Potskamp</v>
      </c>
      <c r="C633" s="231" t="str">
        <f>VLOOKUP(Ruimtestaat[[#This Row],[Code]],Locaties[#All],4,FALSE)</f>
        <v>Potskampstraat 2</v>
      </c>
      <c r="D633" s="231" t="str">
        <f>VLOOKUP(Ruimtestaat[[#This Row],[Code]],Locaties[#All],5,FALSE)</f>
        <v>7573 CC</v>
      </c>
      <c r="E633" s="187" t="str">
        <f>VLOOKUP(Ruimtestaat[[#This Row],[Code]],Locaties[#All],6,FALSE)</f>
        <v>Oldenzaal</v>
      </c>
      <c r="F633" s="232"/>
      <c r="G633" s="187">
        <v>2</v>
      </c>
      <c r="H633" s="187">
        <v>300</v>
      </c>
      <c r="I633" s="232" t="s">
        <v>590</v>
      </c>
      <c r="J633" s="187">
        <v>2</v>
      </c>
      <c r="K633" s="187" t="str">
        <f>VLOOKUP(Ruimtestaat[[#This Row],[Ruimte code]],Ruimtegroepen[#All],2,FALSE)</f>
        <v>Kantoren/kantoortuin</v>
      </c>
      <c r="L633" s="231" t="s">
        <v>677</v>
      </c>
      <c r="M633" s="187" t="s">
        <v>1200</v>
      </c>
      <c r="N633" s="200">
        <v>23</v>
      </c>
      <c r="O633" s="200"/>
      <c r="P633" s="231" t="str">
        <f>VLOOKUP(Ruimtestaat[[#This Row],[Ruimte code]],Ruimtegroepen[#All],4,FALSE)</f>
        <v>B  (Bureauruimte)</v>
      </c>
      <c r="Q633" s="201"/>
      <c r="R633" s="202">
        <v>42</v>
      </c>
      <c r="S633" s="202" t="s">
        <v>2</v>
      </c>
      <c r="T633" s="202">
        <f>IF(R633&gt;0,IF(RIGHT(Ruimtestaat[[#This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33" s="202">
        <f>IF(T633&gt;0,VLOOKUP($J633,Ruimtegroepen[],3,FALSE)*VLOOKUP($L633,Vloersoorten[],3,FALSE)*VLOOKUP($S633,Frequenties[],3,FALSE)*VLOOKUP($A633,Locaties[],3,FALSE),0)</f>
        <v>0</v>
      </c>
      <c r="V633" s="202">
        <f>Ruimtestaat[[#This Row],[Uitvoeringen werkdagen]]*Ruimtestaat[[#This Row],[Oppervlak (netto)]]</f>
        <v>4830</v>
      </c>
      <c r="W633" s="242">
        <f>IF(U633&gt;0,Ruimtestaat[[#This Row],[Prest. (m2 /jaar) werkdagen]]/Ruimtestaat[[#This Row],[Norm (m2/uur) werkdagen]],0)</f>
        <v>0</v>
      </c>
      <c r="X633" s="243">
        <f>Ruimtestaat[[#This Row],[uren / jaar werkdagen]]*Tariefsopbouw!$D$38</f>
        <v>0</v>
      </c>
      <c r="Y633" s="33"/>
      <c r="Z633" s="33">
        <f>IF(Ruimtestaat[[#This Row],[Frequentie weekend]]&gt;0,VALUE(LEFT(Y633,1))*R633,0)</f>
        <v>0</v>
      </c>
      <c r="AA633" s="33">
        <f>IF($Z633&gt;0,VLOOKUP($J633,Ruimtegroepen[],3,FALSE)*VLOOKUP($L633,Vloersoorten[],3,FALSE)*VLOOKUP($Y633,Frequenties[],3,FALSE)*VLOOKUP(#REF!,Locaties[],3,FALSE),0)</f>
        <v>0</v>
      </c>
      <c r="AB633" s="33"/>
      <c r="AC633" s="33"/>
      <c r="AD633" s="33">
        <f>Ruimtestaat[[#This Row],[uren / jaar weekend]]*Tariefsopbouw!$D$40</f>
        <v>0</v>
      </c>
      <c r="AE633" s="86">
        <f>Ruimtestaat[[#This Row],[Prest. (m2 /jaar) weekend]]+Ruimtestaat[[#This Row],[Prest. (m2 /jaar) werkdagen]]</f>
        <v>4830</v>
      </c>
      <c r="AF633" s="86">
        <f>Ruimtestaat[[#This Row],[uren / jaar weekend]]+Ruimtestaat[[#This Row],[uren / jaar werkdagen]]</f>
        <v>0</v>
      </c>
      <c r="AG633" s="87">
        <f>Ruimtestaat[[#This Row],[kosten / jaar weekend]]+Ruimtestaat[[#This Row],[kosten / jaar werkdagen]]</f>
        <v>0</v>
      </c>
    </row>
    <row r="634" spans="1:33" ht="15" customHeight="1">
      <c r="A634" s="187">
        <v>5</v>
      </c>
      <c r="B634" s="21" t="str">
        <f>VLOOKUP(Ruimtestaat[[#This Row],[Code]],Locaties[#All],2,FALSE)</f>
        <v>Potskamp</v>
      </c>
      <c r="C634" s="231" t="str">
        <f>VLOOKUP(Ruimtestaat[[#This Row],[Code]],Locaties[#All],4,FALSE)</f>
        <v>Potskampstraat 2</v>
      </c>
      <c r="D634" s="231" t="str">
        <f>VLOOKUP(Ruimtestaat[[#This Row],[Code]],Locaties[#All],5,FALSE)</f>
        <v>7573 CC</v>
      </c>
      <c r="E634" s="187" t="str">
        <f>VLOOKUP(Ruimtestaat[[#This Row],[Code]],Locaties[#All],6,FALSE)</f>
        <v>Oldenzaal</v>
      </c>
      <c r="F634" s="232"/>
      <c r="G634" s="187">
        <v>2</v>
      </c>
      <c r="H634" s="187" t="s">
        <v>780</v>
      </c>
      <c r="I634" s="232" t="s">
        <v>590</v>
      </c>
      <c r="J634" s="187">
        <v>2</v>
      </c>
      <c r="K634" s="187" t="str">
        <f>VLOOKUP(Ruimtestaat[[#This Row],[Ruimte code]],Ruimtegroepen[#All],2,FALSE)</f>
        <v>Kantoren/kantoortuin</v>
      </c>
      <c r="L634" s="231" t="s">
        <v>677</v>
      </c>
      <c r="M634" s="187" t="s">
        <v>1200</v>
      </c>
      <c r="N634" s="200">
        <v>20</v>
      </c>
      <c r="O634" s="200"/>
      <c r="P634" s="231" t="str">
        <f>VLOOKUP(Ruimtestaat[[#This Row],[Ruimte code]],Ruimtegroepen[#All],4,FALSE)</f>
        <v>B  (Bureauruimte)</v>
      </c>
      <c r="Q634" s="201"/>
      <c r="R634" s="202">
        <v>42</v>
      </c>
      <c r="S634" s="202" t="s">
        <v>2</v>
      </c>
      <c r="T634" s="202">
        <f>IF(R634&gt;0,IF(RIGHT(Ruimtestaat[[#This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34" s="202">
        <f>IF(T634&gt;0,VLOOKUP($J634,Ruimtegroepen[],3,FALSE)*VLOOKUP($L634,Vloersoorten[],3,FALSE)*VLOOKUP($S634,Frequenties[],3,FALSE)*VLOOKUP($A634,Locaties[],3,FALSE),0)</f>
        <v>0</v>
      </c>
      <c r="V634" s="202">
        <f>Ruimtestaat[[#This Row],[Uitvoeringen werkdagen]]*Ruimtestaat[[#This Row],[Oppervlak (netto)]]</f>
        <v>4200</v>
      </c>
      <c r="W634" s="242">
        <f>IF(U634&gt;0,Ruimtestaat[[#This Row],[Prest. (m2 /jaar) werkdagen]]/Ruimtestaat[[#This Row],[Norm (m2/uur) werkdagen]],0)</f>
        <v>0</v>
      </c>
      <c r="X634" s="243">
        <f>Ruimtestaat[[#This Row],[uren / jaar werkdagen]]*Tariefsopbouw!$D$38</f>
        <v>0</v>
      </c>
      <c r="Y634" s="33"/>
      <c r="Z634" s="33">
        <f>IF(Ruimtestaat[[#This Row],[Frequentie weekend]]&gt;0,VALUE(LEFT(Y634,1))*R634,0)</f>
        <v>0</v>
      </c>
      <c r="AA634" s="33">
        <f>IF($Z634&gt;0,VLOOKUP($J634,Ruimtegroepen[],3,FALSE)*VLOOKUP($L634,Vloersoorten[],3,FALSE)*VLOOKUP($Y634,Frequenties[],3,FALSE)*VLOOKUP(#REF!,Locaties[],3,FALSE),0)</f>
        <v>0</v>
      </c>
      <c r="AB634" s="33"/>
      <c r="AC634" s="33"/>
      <c r="AD634" s="33">
        <f>Ruimtestaat[[#This Row],[uren / jaar weekend]]*Tariefsopbouw!$D$40</f>
        <v>0</v>
      </c>
      <c r="AE634" s="86">
        <f>Ruimtestaat[[#This Row],[Prest. (m2 /jaar) weekend]]+Ruimtestaat[[#This Row],[Prest. (m2 /jaar) werkdagen]]</f>
        <v>4200</v>
      </c>
      <c r="AF634" s="86">
        <f>Ruimtestaat[[#This Row],[uren / jaar weekend]]+Ruimtestaat[[#This Row],[uren / jaar werkdagen]]</f>
        <v>0</v>
      </c>
      <c r="AG634" s="87">
        <f>Ruimtestaat[[#This Row],[kosten / jaar weekend]]+Ruimtestaat[[#This Row],[kosten / jaar werkdagen]]</f>
        <v>0</v>
      </c>
    </row>
    <row r="635" spans="1:33" ht="15" customHeight="1">
      <c r="A635" s="187">
        <v>5</v>
      </c>
      <c r="B635" s="21" t="str">
        <f>VLOOKUP(Ruimtestaat[[#This Row],[Code]],Locaties[#All],2,FALSE)</f>
        <v>Potskamp</v>
      </c>
      <c r="C635" s="231" t="str">
        <f>VLOOKUP(Ruimtestaat[[#This Row],[Code]],Locaties[#All],4,FALSE)</f>
        <v>Potskampstraat 2</v>
      </c>
      <c r="D635" s="231" t="str">
        <f>VLOOKUP(Ruimtestaat[[#This Row],[Code]],Locaties[#All],5,FALSE)</f>
        <v>7573 CC</v>
      </c>
      <c r="E635" s="187" t="str">
        <f>VLOOKUP(Ruimtestaat[[#This Row],[Code]],Locaties[#All],6,FALSE)</f>
        <v>Oldenzaal</v>
      </c>
      <c r="F635" s="232"/>
      <c r="G635" s="187">
        <v>2</v>
      </c>
      <c r="H635" s="187"/>
      <c r="I635" s="232" t="s">
        <v>698</v>
      </c>
      <c r="J635" s="187">
        <v>5</v>
      </c>
      <c r="K635" s="187" t="str">
        <f>VLOOKUP(Ruimtestaat[[#This Row],[Ruimte code]],Ruimtegroepen[#All],2,FALSE)</f>
        <v>Sanitair</v>
      </c>
      <c r="L635" s="202" t="s">
        <v>108</v>
      </c>
      <c r="M635" s="187" t="s">
        <v>1201</v>
      </c>
      <c r="N635" s="200">
        <v>11</v>
      </c>
      <c r="O635" s="200"/>
      <c r="P635" s="231" t="str">
        <f>VLOOKUP(Ruimtestaat[[#This Row],[Ruimte code]],Ruimtegroepen[#All],4,FALSE)</f>
        <v>S  (Sanitair)</v>
      </c>
      <c r="Q635" s="201"/>
      <c r="R635" s="202">
        <v>42</v>
      </c>
      <c r="S635" s="202" t="s">
        <v>19</v>
      </c>
      <c r="T635" s="202">
        <f>IF(R635&gt;0,IF(RIGHT(Ruimtestaat[[#This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635" s="202">
        <f>IF(T635&gt;0,VLOOKUP($J635,Ruimtegroepen[],3,FALSE)*VLOOKUP($L635,Vloersoorten[],3,FALSE)*VLOOKUP($S635,Frequenties[],3,FALSE)*VLOOKUP($A635,Locaties[],3,FALSE),0)</f>
        <v>0</v>
      </c>
      <c r="V635" s="202">
        <f>Ruimtestaat[[#This Row],[Uitvoeringen werkdagen]]*Ruimtestaat[[#This Row],[Oppervlak (netto)]]</f>
        <v>4620</v>
      </c>
      <c r="W635" s="242">
        <f>IF(U635&gt;0,Ruimtestaat[[#This Row],[Prest. (m2 /jaar) werkdagen]]/Ruimtestaat[[#This Row],[Norm (m2/uur) werkdagen]],0)</f>
        <v>0</v>
      </c>
      <c r="X635" s="243">
        <f>Ruimtestaat[[#This Row],[uren / jaar werkdagen]]*Tariefsopbouw!$D$38</f>
        <v>0</v>
      </c>
      <c r="Y635" s="33"/>
      <c r="Z635" s="33">
        <f>IF(Ruimtestaat[[#This Row],[Frequentie weekend]]&gt;0,VALUE(LEFT(Y635,1))*R635,0)</f>
        <v>0</v>
      </c>
      <c r="AA635" s="33">
        <f>IF($Z635&gt;0,VLOOKUP($J635,Ruimtegroepen[],3,FALSE)*VLOOKUP($L635,Vloersoorten[],3,FALSE)*VLOOKUP($Y635,Frequenties[],3,FALSE)*VLOOKUP(#REF!,Locaties[],3,FALSE),0)</f>
        <v>0</v>
      </c>
      <c r="AB635" s="33"/>
      <c r="AC635" s="33"/>
      <c r="AD635" s="33">
        <f>Ruimtestaat[[#This Row],[uren / jaar weekend]]*Tariefsopbouw!$D$40</f>
        <v>0</v>
      </c>
      <c r="AE635" s="86">
        <f>Ruimtestaat[[#This Row],[Prest. (m2 /jaar) weekend]]+Ruimtestaat[[#This Row],[Prest. (m2 /jaar) werkdagen]]</f>
        <v>4620</v>
      </c>
      <c r="AF635" s="86">
        <f>Ruimtestaat[[#This Row],[uren / jaar weekend]]+Ruimtestaat[[#This Row],[uren / jaar werkdagen]]</f>
        <v>0</v>
      </c>
      <c r="AG635" s="87">
        <f>Ruimtestaat[[#This Row],[kosten / jaar weekend]]+Ruimtestaat[[#This Row],[kosten / jaar werkdagen]]</f>
        <v>0</v>
      </c>
    </row>
    <row r="636" spans="1:33" ht="15" customHeight="1">
      <c r="A636" s="187">
        <v>5</v>
      </c>
      <c r="B636" s="21" t="str">
        <f>VLOOKUP(Ruimtestaat[[#This Row],[Code]],Locaties[#All],2,FALSE)</f>
        <v>Potskamp</v>
      </c>
      <c r="C636" s="231" t="str">
        <f>VLOOKUP(Ruimtestaat[[#This Row],[Code]],Locaties[#All],4,FALSE)</f>
        <v>Potskampstraat 2</v>
      </c>
      <c r="D636" s="231" t="str">
        <f>VLOOKUP(Ruimtestaat[[#This Row],[Code]],Locaties[#All],5,FALSE)</f>
        <v>7573 CC</v>
      </c>
      <c r="E636" s="187" t="str">
        <f>VLOOKUP(Ruimtestaat[[#This Row],[Code]],Locaties[#All],6,FALSE)</f>
        <v>Oldenzaal</v>
      </c>
      <c r="F636" s="232"/>
      <c r="G636" s="187">
        <v>2</v>
      </c>
      <c r="H636" s="187"/>
      <c r="I636" s="232" t="s">
        <v>442</v>
      </c>
      <c r="J636" s="187">
        <v>1</v>
      </c>
      <c r="K636" s="187" t="str">
        <f>VLOOKUP(Ruimtestaat[[#This Row],[Ruimte code]],Ruimtegroepen[#All],2,FALSE)</f>
        <v>Magazijnen/bergingen</v>
      </c>
      <c r="L636" s="231" t="s">
        <v>1204</v>
      </c>
      <c r="M636" s="187" t="s">
        <v>1205</v>
      </c>
      <c r="N636" s="200">
        <v>16</v>
      </c>
      <c r="O636" s="200"/>
      <c r="P636" s="231" t="str">
        <f>VLOOKUP(Ruimtestaat[[#This Row],[Ruimte code]],Ruimtegroepen[#All],4,FALSE)</f>
        <v>V  (Verkeersruimte)</v>
      </c>
      <c r="Q636" s="201"/>
      <c r="R636" s="202">
        <v>42</v>
      </c>
      <c r="S636" s="202" t="s">
        <v>15</v>
      </c>
      <c r="T636" s="202">
        <f>IF(R636&gt;0,IF(RIGHT(Ruimtestaat[[#This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636" s="202">
        <f>IF(T636&gt;0,VLOOKUP($J636,Ruimtegroepen[],3,FALSE)*VLOOKUP($L636,Vloersoorten[],3,FALSE)*VLOOKUP($S636,Frequenties[],3,FALSE)*VLOOKUP($A636,Locaties[],3,FALSE),0)</f>
        <v>0</v>
      </c>
      <c r="V636" s="202">
        <f>Ruimtestaat[[#This Row],[Uitvoeringen werkdagen]]*Ruimtestaat[[#This Row],[Oppervlak (netto)]]</f>
        <v>672</v>
      </c>
      <c r="W636" s="242">
        <f>IF(U636&gt;0,Ruimtestaat[[#This Row],[Prest. (m2 /jaar) werkdagen]]/Ruimtestaat[[#This Row],[Norm (m2/uur) werkdagen]],0)</f>
        <v>0</v>
      </c>
      <c r="X636" s="243">
        <f>Ruimtestaat[[#This Row],[uren / jaar werkdagen]]*Tariefsopbouw!$D$38</f>
        <v>0</v>
      </c>
      <c r="Y636" s="33"/>
      <c r="Z636" s="33">
        <f>IF(Ruimtestaat[[#This Row],[Frequentie weekend]]&gt;0,VALUE(LEFT(Y636,1))*R636,0)</f>
        <v>0</v>
      </c>
      <c r="AA636" s="33">
        <f>IF($Z636&gt;0,VLOOKUP($J636,Ruimtegroepen[],3,FALSE)*VLOOKUP($L636,Vloersoorten[],3,FALSE)*VLOOKUP($Y636,Frequenties[],3,FALSE)*VLOOKUP(#REF!,Locaties[],3,FALSE),0)</f>
        <v>0</v>
      </c>
      <c r="AB636" s="33"/>
      <c r="AC636" s="33"/>
      <c r="AD636" s="33">
        <f>Ruimtestaat[[#This Row],[uren / jaar weekend]]*Tariefsopbouw!$D$40</f>
        <v>0</v>
      </c>
      <c r="AE636" s="86">
        <f>Ruimtestaat[[#This Row],[Prest. (m2 /jaar) weekend]]+Ruimtestaat[[#This Row],[Prest. (m2 /jaar) werkdagen]]</f>
        <v>672</v>
      </c>
      <c r="AF636" s="86">
        <f>Ruimtestaat[[#This Row],[uren / jaar weekend]]+Ruimtestaat[[#This Row],[uren / jaar werkdagen]]</f>
        <v>0</v>
      </c>
      <c r="AG636" s="87">
        <f>Ruimtestaat[[#This Row],[kosten / jaar weekend]]+Ruimtestaat[[#This Row],[kosten / jaar werkdagen]]</f>
        <v>0</v>
      </c>
    </row>
    <row r="637" spans="1:33" ht="15" customHeight="1">
      <c r="A637" s="187">
        <v>5</v>
      </c>
      <c r="B637" s="21" t="str">
        <f>VLOOKUP(Ruimtestaat[[#This Row],[Code]],Locaties[#All],2,FALSE)</f>
        <v>Potskamp</v>
      </c>
      <c r="C637" s="231" t="str">
        <f>VLOOKUP(Ruimtestaat[[#This Row],[Code]],Locaties[#All],4,FALSE)</f>
        <v>Potskampstraat 2</v>
      </c>
      <c r="D637" s="231" t="str">
        <f>VLOOKUP(Ruimtestaat[[#This Row],[Code]],Locaties[#All],5,FALSE)</f>
        <v>7573 CC</v>
      </c>
      <c r="E637" s="187" t="str">
        <f>VLOOKUP(Ruimtestaat[[#This Row],[Code]],Locaties[#All],6,FALSE)</f>
        <v>Oldenzaal</v>
      </c>
      <c r="F637" s="232"/>
      <c r="G637" s="187">
        <v>2</v>
      </c>
      <c r="H637" s="187"/>
      <c r="I637" s="232" t="s">
        <v>372</v>
      </c>
      <c r="J637" s="187">
        <v>6</v>
      </c>
      <c r="K637" s="187" t="str">
        <f>VLOOKUP(Ruimtestaat[[#This Row],[Ruimte code]],Ruimtegroepen[#All],2,FALSE)</f>
        <v>Gangen/hallen</v>
      </c>
      <c r="L637" s="202" t="s">
        <v>108</v>
      </c>
      <c r="M637" s="187" t="s">
        <v>1201</v>
      </c>
      <c r="N637" s="200">
        <v>77</v>
      </c>
      <c r="O637" s="200"/>
      <c r="P637" s="231" t="str">
        <f>VLOOKUP(Ruimtestaat[[#This Row],[Ruimte code]],Ruimtegroepen[#All],4,FALSE)</f>
        <v>V  (Verkeersruimte)</v>
      </c>
      <c r="Q637" s="201"/>
      <c r="R637" s="202">
        <v>42</v>
      </c>
      <c r="S637" s="202" t="s">
        <v>2</v>
      </c>
      <c r="T637" s="202">
        <f>IF(R637&gt;0,IF(RIGHT(Ruimtestaat[[#This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37" s="202">
        <f>IF(T637&gt;0,VLOOKUP($J637,Ruimtegroepen[],3,FALSE)*VLOOKUP($L637,Vloersoorten[],3,FALSE)*VLOOKUP($S637,Frequenties[],3,FALSE)*VLOOKUP($A637,Locaties[],3,FALSE),0)</f>
        <v>0</v>
      </c>
      <c r="V637" s="202">
        <f>Ruimtestaat[[#This Row],[Uitvoeringen werkdagen]]*Ruimtestaat[[#This Row],[Oppervlak (netto)]]</f>
        <v>16170</v>
      </c>
      <c r="W637" s="242">
        <f>IF(U637&gt;0,Ruimtestaat[[#This Row],[Prest. (m2 /jaar) werkdagen]]/Ruimtestaat[[#This Row],[Norm (m2/uur) werkdagen]],0)</f>
        <v>0</v>
      </c>
      <c r="X637" s="243">
        <f>Ruimtestaat[[#This Row],[uren / jaar werkdagen]]*Tariefsopbouw!$D$38</f>
        <v>0</v>
      </c>
      <c r="Y637" s="33"/>
      <c r="Z637" s="33">
        <f>IF(Ruimtestaat[[#This Row],[Frequentie weekend]]&gt;0,VALUE(LEFT(Y637,1))*R637,0)</f>
        <v>0</v>
      </c>
      <c r="AA637" s="33">
        <f>IF($Z637&gt;0,VLOOKUP($J637,Ruimtegroepen[],3,FALSE)*VLOOKUP($L637,Vloersoorten[],3,FALSE)*VLOOKUP($Y637,Frequenties[],3,FALSE)*VLOOKUP(#REF!,Locaties[],3,FALSE),0)</f>
        <v>0</v>
      </c>
      <c r="AB637" s="33"/>
      <c r="AC637" s="33"/>
      <c r="AD637" s="33">
        <f>Ruimtestaat[[#This Row],[uren / jaar weekend]]*Tariefsopbouw!$D$40</f>
        <v>0</v>
      </c>
      <c r="AE637" s="86">
        <f>Ruimtestaat[[#This Row],[Prest. (m2 /jaar) weekend]]+Ruimtestaat[[#This Row],[Prest. (m2 /jaar) werkdagen]]</f>
        <v>16170</v>
      </c>
      <c r="AF637" s="86">
        <f>Ruimtestaat[[#This Row],[uren / jaar weekend]]+Ruimtestaat[[#This Row],[uren / jaar werkdagen]]</f>
        <v>0</v>
      </c>
      <c r="AG637" s="87">
        <f>Ruimtestaat[[#This Row],[kosten / jaar weekend]]+Ruimtestaat[[#This Row],[kosten / jaar werkdagen]]</f>
        <v>0</v>
      </c>
    </row>
    <row r="638" spans="1:33" ht="15" customHeight="1">
      <c r="A638" s="187">
        <v>5</v>
      </c>
      <c r="B638" s="21" t="str">
        <f>VLOOKUP(Ruimtestaat[[#This Row],[Code]],Locaties[#All],2,FALSE)</f>
        <v>Potskamp</v>
      </c>
      <c r="C638" s="231" t="str">
        <f>VLOOKUP(Ruimtestaat[[#This Row],[Code]],Locaties[#All],4,FALSE)</f>
        <v>Potskampstraat 2</v>
      </c>
      <c r="D638" s="231" t="str">
        <f>VLOOKUP(Ruimtestaat[[#This Row],[Code]],Locaties[#All],5,FALSE)</f>
        <v>7573 CC</v>
      </c>
      <c r="E638" s="187" t="str">
        <f>VLOOKUP(Ruimtestaat[[#This Row],[Code]],Locaties[#All],6,FALSE)</f>
        <v>Oldenzaal</v>
      </c>
      <c r="F638" s="232"/>
      <c r="G638" s="187">
        <v>2</v>
      </c>
      <c r="H638" s="187">
        <v>301</v>
      </c>
      <c r="I638" s="232" t="s">
        <v>604</v>
      </c>
      <c r="J638" s="187">
        <v>16</v>
      </c>
      <c r="K638" s="187" t="str">
        <f>VLOOKUP(Ruimtestaat[[#This Row],[Ruimte code]],Ruimtegroepen[#All],2,FALSE)</f>
        <v>Leslokalen/computerlokaal</v>
      </c>
      <c r="L638" s="231" t="s">
        <v>677</v>
      </c>
      <c r="M638" s="187" t="s">
        <v>1200</v>
      </c>
      <c r="N638" s="200">
        <v>64</v>
      </c>
      <c r="O638" s="200"/>
      <c r="P638" s="231" t="str">
        <f>VLOOKUP(Ruimtestaat[[#This Row],[Ruimte code]],Ruimtegroepen[#All],4,FALSE)</f>
        <v>L  (Lesruimte)</v>
      </c>
      <c r="Q638" s="201"/>
      <c r="R638" s="202">
        <v>42</v>
      </c>
      <c r="S638" s="202" t="s">
        <v>2</v>
      </c>
      <c r="T638" s="202">
        <f>IF(R638&gt;0,IF(RIGHT(Ruimtestaat[[#This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38" s="202">
        <f>IF(T638&gt;0,VLOOKUP($J638,Ruimtegroepen[],3,FALSE)*VLOOKUP($L638,Vloersoorten[],3,FALSE)*VLOOKUP($S638,Frequenties[],3,FALSE)*VLOOKUP($A638,Locaties[],3,FALSE),0)</f>
        <v>0</v>
      </c>
      <c r="V638" s="202">
        <f>Ruimtestaat[[#This Row],[Uitvoeringen werkdagen]]*Ruimtestaat[[#This Row],[Oppervlak (netto)]]</f>
        <v>13440</v>
      </c>
      <c r="W638" s="242">
        <f>IF(U638&gt;0,Ruimtestaat[[#This Row],[Prest. (m2 /jaar) werkdagen]]/Ruimtestaat[[#This Row],[Norm (m2/uur) werkdagen]],0)</f>
        <v>0</v>
      </c>
      <c r="X638" s="243">
        <f>Ruimtestaat[[#This Row],[uren / jaar werkdagen]]*Tariefsopbouw!$D$38</f>
        <v>0</v>
      </c>
      <c r="Y638" s="33"/>
      <c r="Z638" s="33">
        <f>IF(Ruimtestaat[[#This Row],[Frequentie weekend]]&gt;0,VALUE(LEFT(Y638,1))*R638,0)</f>
        <v>0</v>
      </c>
      <c r="AA638" s="33">
        <f>IF($Z638&gt;0,VLOOKUP($J638,Ruimtegroepen[],3,FALSE)*VLOOKUP($L638,Vloersoorten[],3,FALSE)*VLOOKUP($Y638,Frequenties[],3,FALSE)*VLOOKUP(#REF!,Locaties[],3,FALSE),0)</f>
        <v>0</v>
      </c>
      <c r="AB638" s="33"/>
      <c r="AC638" s="33"/>
      <c r="AD638" s="33">
        <f>Ruimtestaat[[#This Row],[uren / jaar weekend]]*Tariefsopbouw!$D$40</f>
        <v>0</v>
      </c>
      <c r="AE638" s="86">
        <f>Ruimtestaat[[#This Row],[Prest. (m2 /jaar) weekend]]+Ruimtestaat[[#This Row],[Prest. (m2 /jaar) werkdagen]]</f>
        <v>13440</v>
      </c>
      <c r="AF638" s="86">
        <f>Ruimtestaat[[#This Row],[uren / jaar weekend]]+Ruimtestaat[[#This Row],[uren / jaar werkdagen]]</f>
        <v>0</v>
      </c>
      <c r="AG638" s="87">
        <f>Ruimtestaat[[#This Row],[kosten / jaar weekend]]+Ruimtestaat[[#This Row],[kosten / jaar werkdagen]]</f>
        <v>0</v>
      </c>
    </row>
    <row r="639" spans="1:33" ht="15" customHeight="1">
      <c r="A639" s="187">
        <v>5</v>
      </c>
      <c r="B639" s="21" t="str">
        <f>VLOOKUP(Ruimtestaat[[#This Row],[Code]],Locaties[#All],2,FALSE)</f>
        <v>Potskamp</v>
      </c>
      <c r="C639" s="231" t="str">
        <f>VLOOKUP(Ruimtestaat[[#This Row],[Code]],Locaties[#All],4,FALSE)</f>
        <v>Potskampstraat 2</v>
      </c>
      <c r="D639" s="231" t="str">
        <f>VLOOKUP(Ruimtestaat[[#This Row],[Code]],Locaties[#All],5,FALSE)</f>
        <v>7573 CC</v>
      </c>
      <c r="E639" s="187" t="str">
        <f>VLOOKUP(Ruimtestaat[[#This Row],[Code]],Locaties[#All],6,FALSE)</f>
        <v>Oldenzaal</v>
      </c>
      <c r="F639" s="232"/>
      <c r="G639" s="187">
        <v>2</v>
      </c>
      <c r="H639" s="187">
        <v>302</v>
      </c>
      <c r="I639" s="232" t="s">
        <v>604</v>
      </c>
      <c r="J639" s="187">
        <v>16</v>
      </c>
      <c r="K639" s="187" t="str">
        <f>VLOOKUP(Ruimtestaat[[#This Row],[Ruimte code]],Ruimtegroepen[#All],2,FALSE)</f>
        <v>Leslokalen/computerlokaal</v>
      </c>
      <c r="L639" s="231" t="s">
        <v>677</v>
      </c>
      <c r="M639" s="187" t="s">
        <v>1200</v>
      </c>
      <c r="N639" s="200">
        <v>64</v>
      </c>
      <c r="O639" s="200"/>
      <c r="P639" s="231" t="str">
        <f>VLOOKUP(Ruimtestaat[[#This Row],[Ruimte code]],Ruimtegroepen[#All],4,FALSE)</f>
        <v>L  (Lesruimte)</v>
      </c>
      <c r="Q639" s="201"/>
      <c r="R639" s="202">
        <v>42</v>
      </c>
      <c r="S639" s="202" t="s">
        <v>2</v>
      </c>
      <c r="T639" s="202">
        <f>IF(R639&gt;0,IF(RIGHT(Ruimtestaat[[#This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39" s="202">
        <f>IF(T639&gt;0,VLOOKUP($J639,Ruimtegroepen[],3,FALSE)*VLOOKUP($L639,Vloersoorten[],3,FALSE)*VLOOKUP($S639,Frequenties[],3,FALSE)*VLOOKUP($A639,Locaties[],3,FALSE),0)</f>
        <v>0</v>
      </c>
      <c r="V639" s="202">
        <f>Ruimtestaat[[#This Row],[Uitvoeringen werkdagen]]*Ruimtestaat[[#This Row],[Oppervlak (netto)]]</f>
        <v>13440</v>
      </c>
      <c r="W639" s="242">
        <f>IF(U639&gt;0,Ruimtestaat[[#This Row],[Prest. (m2 /jaar) werkdagen]]/Ruimtestaat[[#This Row],[Norm (m2/uur) werkdagen]],0)</f>
        <v>0</v>
      </c>
      <c r="X639" s="243">
        <f>Ruimtestaat[[#This Row],[uren / jaar werkdagen]]*Tariefsopbouw!$D$38</f>
        <v>0</v>
      </c>
      <c r="Y639" s="33"/>
      <c r="Z639" s="33">
        <f>IF(Ruimtestaat[[#This Row],[Frequentie weekend]]&gt;0,VALUE(LEFT(Y639,1))*R639,0)</f>
        <v>0</v>
      </c>
      <c r="AA639" s="33">
        <f>IF($Z639&gt;0,VLOOKUP($J639,Ruimtegroepen[],3,FALSE)*VLOOKUP($L639,Vloersoorten[],3,FALSE)*VLOOKUP($Y639,Frequenties[],3,FALSE)*VLOOKUP(#REF!,Locaties[],3,FALSE),0)</f>
        <v>0</v>
      </c>
      <c r="AB639" s="33"/>
      <c r="AC639" s="33"/>
      <c r="AD639" s="33">
        <f>Ruimtestaat[[#This Row],[uren / jaar weekend]]*Tariefsopbouw!$D$40</f>
        <v>0</v>
      </c>
      <c r="AE639" s="86">
        <f>Ruimtestaat[[#This Row],[Prest. (m2 /jaar) weekend]]+Ruimtestaat[[#This Row],[Prest. (m2 /jaar) werkdagen]]</f>
        <v>13440</v>
      </c>
      <c r="AF639" s="86">
        <f>Ruimtestaat[[#This Row],[uren / jaar weekend]]+Ruimtestaat[[#This Row],[uren / jaar werkdagen]]</f>
        <v>0</v>
      </c>
      <c r="AG639" s="87">
        <f>Ruimtestaat[[#This Row],[kosten / jaar weekend]]+Ruimtestaat[[#This Row],[kosten / jaar werkdagen]]</f>
        <v>0</v>
      </c>
    </row>
    <row r="640" spans="1:33" ht="15" customHeight="1">
      <c r="A640" s="187">
        <v>5</v>
      </c>
      <c r="B640" s="21" t="str">
        <f>VLOOKUP(Ruimtestaat[[#This Row],[Code]],Locaties[#All],2,FALSE)</f>
        <v>Potskamp</v>
      </c>
      <c r="C640" s="231" t="str">
        <f>VLOOKUP(Ruimtestaat[[#This Row],[Code]],Locaties[#All],4,FALSE)</f>
        <v>Potskampstraat 2</v>
      </c>
      <c r="D640" s="231" t="str">
        <f>VLOOKUP(Ruimtestaat[[#This Row],[Code]],Locaties[#All],5,FALSE)</f>
        <v>7573 CC</v>
      </c>
      <c r="E640" s="187" t="str">
        <f>VLOOKUP(Ruimtestaat[[#This Row],[Code]],Locaties[#All],6,FALSE)</f>
        <v>Oldenzaal</v>
      </c>
      <c r="F640" s="232"/>
      <c r="G640" s="187">
        <v>2</v>
      </c>
      <c r="H640" s="187" t="s">
        <v>781</v>
      </c>
      <c r="I640" s="232" t="s">
        <v>604</v>
      </c>
      <c r="J640" s="231">
        <v>16</v>
      </c>
      <c r="K640" s="231" t="str">
        <f>VLOOKUP(Ruimtestaat[[#This Row],[Ruimte code]],Ruimtegroepen[#All],2,FALSE)</f>
        <v>Leslokalen/computerlokaal</v>
      </c>
      <c r="L640" s="231" t="s">
        <v>1204</v>
      </c>
      <c r="M640" s="187" t="s">
        <v>1205</v>
      </c>
      <c r="N640" s="200">
        <v>152</v>
      </c>
      <c r="O640" s="200"/>
      <c r="P640" s="231" t="str">
        <f>VLOOKUP(Ruimtestaat[[#This Row],[Ruimte code]],Ruimtegroepen[#All],4,FALSE)</f>
        <v>L  (Lesruimte)</v>
      </c>
      <c r="Q640" s="201"/>
      <c r="R640" s="202">
        <v>42</v>
      </c>
      <c r="S640" s="202" t="s">
        <v>2</v>
      </c>
      <c r="T640" s="202">
        <f>IF(R640&gt;0,IF(RIGHT(Ruimtestaat[[#This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40" s="202">
        <f>IF(T640&gt;0,VLOOKUP($J640,Ruimtegroepen[],3,FALSE)*VLOOKUP($L640,Vloersoorten[],3,FALSE)*VLOOKUP($S640,Frequenties[],3,FALSE)*VLOOKUP($A640,Locaties[],3,FALSE),0)</f>
        <v>0</v>
      </c>
      <c r="V640" s="202">
        <f>Ruimtestaat[[#This Row],[Uitvoeringen werkdagen]]*Ruimtestaat[[#This Row],[Oppervlak (netto)]]</f>
        <v>31920</v>
      </c>
      <c r="W640" s="242">
        <f>IF(U640&gt;0,Ruimtestaat[[#This Row],[Prest. (m2 /jaar) werkdagen]]/Ruimtestaat[[#This Row],[Norm (m2/uur) werkdagen]],0)</f>
        <v>0</v>
      </c>
      <c r="X640" s="243">
        <f>Ruimtestaat[[#This Row],[uren / jaar werkdagen]]*Tariefsopbouw!$D$38</f>
        <v>0</v>
      </c>
      <c r="Y640" s="33"/>
      <c r="Z640" s="33">
        <f>IF(Ruimtestaat[[#This Row],[Frequentie weekend]]&gt;0,VALUE(LEFT(Y640,1))*R640,0)</f>
        <v>0</v>
      </c>
      <c r="AA640" s="33">
        <f>IF($Z640&gt;0,VLOOKUP($J640,Ruimtegroepen[],3,FALSE)*VLOOKUP($L640,Vloersoorten[],3,FALSE)*VLOOKUP($Y640,Frequenties[],3,FALSE)*VLOOKUP(#REF!,Locaties[],3,FALSE),0)</f>
        <v>0</v>
      </c>
      <c r="AB640" s="33"/>
      <c r="AC640" s="33"/>
      <c r="AD640" s="33">
        <f>Ruimtestaat[[#This Row],[uren / jaar weekend]]*Tariefsopbouw!$D$40</f>
        <v>0</v>
      </c>
      <c r="AE640" s="86">
        <f>Ruimtestaat[[#This Row],[Prest. (m2 /jaar) weekend]]+Ruimtestaat[[#This Row],[Prest. (m2 /jaar) werkdagen]]</f>
        <v>31920</v>
      </c>
      <c r="AF640" s="86">
        <f>Ruimtestaat[[#This Row],[uren / jaar weekend]]+Ruimtestaat[[#This Row],[uren / jaar werkdagen]]</f>
        <v>0</v>
      </c>
      <c r="AG640" s="87">
        <f>Ruimtestaat[[#This Row],[kosten / jaar weekend]]+Ruimtestaat[[#This Row],[kosten / jaar werkdagen]]</f>
        <v>0</v>
      </c>
    </row>
    <row r="641" spans="1:33" ht="15" customHeight="1">
      <c r="A641" s="187">
        <v>5</v>
      </c>
      <c r="B641" s="21" t="str">
        <f>VLOOKUP(Ruimtestaat[[#This Row],[Code]],Locaties[#All],2,FALSE)</f>
        <v>Potskamp</v>
      </c>
      <c r="C641" s="231" t="str">
        <f>VLOOKUP(Ruimtestaat[[#This Row],[Code]],Locaties[#All],4,FALSE)</f>
        <v>Potskampstraat 2</v>
      </c>
      <c r="D641" s="231" t="str">
        <f>VLOOKUP(Ruimtestaat[[#This Row],[Code]],Locaties[#All],5,FALSE)</f>
        <v>7573 CC</v>
      </c>
      <c r="E641" s="187" t="str">
        <f>VLOOKUP(Ruimtestaat[[#This Row],[Code]],Locaties[#All],6,FALSE)</f>
        <v>Oldenzaal</v>
      </c>
      <c r="F641" s="232"/>
      <c r="G641" s="187">
        <v>2</v>
      </c>
      <c r="H641" s="187" t="s">
        <v>781</v>
      </c>
      <c r="I641" s="232" t="s">
        <v>604</v>
      </c>
      <c r="J641" s="187">
        <v>16</v>
      </c>
      <c r="K641" s="187" t="str">
        <f>VLOOKUP(Ruimtestaat[[#This Row],[Ruimte code]],Ruimtegroepen[#All],2,FALSE)</f>
        <v>Leslokalen/computerlokaal</v>
      </c>
      <c r="L641" s="187" t="s">
        <v>109</v>
      </c>
      <c r="M641" s="187" t="s">
        <v>1203</v>
      </c>
      <c r="N641" s="200">
        <v>76</v>
      </c>
      <c r="O641" s="200"/>
      <c r="P641" s="231" t="str">
        <f>VLOOKUP(Ruimtestaat[[#This Row],[Ruimte code]],Ruimtegroepen[#All],4,FALSE)</f>
        <v>L  (Lesruimte)</v>
      </c>
      <c r="Q641" s="201"/>
      <c r="R641" s="202">
        <v>42</v>
      </c>
      <c r="S641" s="202" t="s">
        <v>2</v>
      </c>
      <c r="T641" s="202">
        <f>IF(R641&gt;0,IF(RIGHT(Ruimtestaat[[#This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41" s="202">
        <f>IF(T641&gt;0,VLOOKUP($J641,Ruimtegroepen[],3,FALSE)*VLOOKUP($L641,Vloersoorten[],3,FALSE)*VLOOKUP($S641,Frequenties[],3,FALSE)*VLOOKUP($A641,Locaties[],3,FALSE),0)</f>
        <v>0</v>
      </c>
      <c r="V641" s="202">
        <f>Ruimtestaat[[#This Row],[Uitvoeringen werkdagen]]*Ruimtestaat[[#This Row],[Oppervlak (netto)]]</f>
        <v>15960</v>
      </c>
      <c r="W641" s="242">
        <f>IF(U641&gt;0,Ruimtestaat[[#This Row],[Prest. (m2 /jaar) werkdagen]]/Ruimtestaat[[#This Row],[Norm (m2/uur) werkdagen]],0)</f>
        <v>0</v>
      </c>
      <c r="X641" s="243">
        <f>Ruimtestaat[[#This Row],[uren / jaar werkdagen]]*Tariefsopbouw!$D$38</f>
        <v>0</v>
      </c>
      <c r="Y641" s="33"/>
      <c r="Z641" s="33">
        <f>IF(Ruimtestaat[[#This Row],[Frequentie weekend]]&gt;0,VALUE(LEFT(Y641,1))*R641,0)</f>
        <v>0</v>
      </c>
      <c r="AA641" s="33">
        <f>IF($Z641&gt;0,VLOOKUP($J641,Ruimtegroepen[],3,FALSE)*VLOOKUP($L641,Vloersoorten[],3,FALSE)*VLOOKUP($Y641,Frequenties[],3,FALSE)*VLOOKUP(#REF!,Locaties[],3,FALSE),0)</f>
        <v>0</v>
      </c>
      <c r="AB641" s="33"/>
      <c r="AC641" s="33"/>
      <c r="AD641" s="33">
        <f>Ruimtestaat[[#This Row],[uren / jaar weekend]]*Tariefsopbouw!$D$40</f>
        <v>0</v>
      </c>
      <c r="AE641" s="86">
        <f>Ruimtestaat[[#This Row],[Prest. (m2 /jaar) weekend]]+Ruimtestaat[[#This Row],[Prest. (m2 /jaar) werkdagen]]</f>
        <v>15960</v>
      </c>
      <c r="AF641" s="86">
        <f>Ruimtestaat[[#This Row],[uren / jaar weekend]]+Ruimtestaat[[#This Row],[uren / jaar werkdagen]]</f>
        <v>0</v>
      </c>
      <c r="AG641" s="87">
        <f>Ruimtestaat[[#This Row],[kosten / jaar weekend]]+Ruimtestaat[[#This Row],[kosten / jaar werkdagen]]</f>
        <v>0</v>
      </c>
    </row>
    <row r="642" spans="1:33" ht="15" customHeight="1">
      <c r="A642" s="187">
        <v>5</v>
      </c>
      <c r="B642" s="21" t="str">
        <f>VLOOKUP(Ruimtestaat[[#This Row],[Code]],Locaties[#All],2,FALSE)</f>
        <v>Potskamp</v>
      </c>
      <c r="C642" s="231" t="str">
        <f>VLOOKUP(Ruimtestaat[[#This Row],[Code]],Locaties[#All],4,FALSE)</f>
        <v>Potskampstraat 2</v>
      </c>
      <c r="D642" s="231" t="str">
        <f>VLOOKUP(Ruimtestaat[[#This Row],[Code]],Locaties[#All],5,FALSE)</f>
        <v>7573 CC</v>
      </c>
      <c r="E642" s="187" t="str">
        <f>VLOOKUP(Ruimtestaat[[#This Row],[Code]],Locaties[#All],6,FALSE)</f>
        <v>Oldenzaal</v>
      </c>
      <c r="F642" s="232"/>
      <c r="G642" s="187">
        <v>2</v>
      </c>
      <c r="H642" s="187" t="s">
        <v>782</v>
      </c>
      <c r="I642" s="232" t="s">
        <v>604</v>
      </c>
      <c r="J642" s="231">
        <v>16</v>
      </c>
      <c r="K642" s="231" t="str">
        <f>VLOOKUP(Ruimtestaat[[#This Row],[Ruimte code]],Ruimtegroepen[#All],2,FALSE)</f>
        <v>Leslokalen/computerlokaal</v>
      </c>
      <c r="L642" s="231" t="s">
        <v>1204</v>
      </c>
      <c r="M642" s="187" t="s">
        <v>1205</v>
      </c>
      <c r="N642" s="200">
        <v>152</v>
      </c>
      <c r="O642" s="200"/>
      <c r="P642" s="231" t="str">
        <f>VLOOKUP(Ruimtestaat[[#This Row],[Ruimte code]],Ruimtegroepen[#All],4,FALSE)</f>
        <v>L  (Lesruimte)</v>
      </c>
      <c r="Q642" s="201"/>
      <c r="R642" s="202">
        <v>42</v>
      </c>
      <c r="S642" s="202" t="s">
        <v>2</v>
      </c>
      <c r="T642" s="202">
        <f>IF(R642&gt;0,IF(RIGHT(Ruimtestaat[[#This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42" s="202">
        <f>IF(T642&gt;0,VLOOKUP($J642,Ruimtegroepen[],3,FALSE)*VLOOKUP($L642,Vloersoorten[],3,FALSE)*VLOOKUP($S642,Frequenties[],3,FALSE)*VLOOKUP($A642,Locaties[],3,FALSE),0)</f>
        <v>0</v>
      </c>
      <c r="V642" s="202">
        <f>Ruimtestaat[[#This Row],[Uitvoeringen werkdagen]]*Ruimtestaat[[#This Row],[Oppervlak (netto)]]</f>
        <v>31920</v>
      </c>
      <c r="W642" s="242">
        <f>IF(U642&gt;0,Ruimtestaat[[#This Row],[Prest. (m2 /jaar) werkdagen]]/Ruimtestaat[[#This Row],[Norm (m2/uur) werkdagen]],0)</f>
        <v>0</v>
      </c>
      <c r="X642" s="243">
        <f>Ruimtestaat[[#This Row],[uren / jaar werkdagen]]*Tariefsopbouw!$D$38</f>
        <v>0</v>
      </c>
      <c r="Y642" s="33"/>
      <c r="Z642" s="33">
        <f>IF(Ruimtestaat[[#This Row],[Frequentie weekend]]&gt;0,VALUE(LEFT(Y642,1))*R642,0)</f>
        <v>0</v>
      </c>
      <c r="AA642" s="33">
        <f>IF($Z642&gt;0,VLOOKUP($J642,Ruimtegroepen[],3,FALSE)*VLOOKUP($L642,Vloersoorten[],3,FALSE)*VLOOKUP($Y642,Frequenties[],3,FALSE)*VLOOKUP(#REF!,Locaties[],3,FALSE),0)</f>
        <v>0</v>
      </c>
      <c r="AB642" s="33"/>
      <c r="AC642" s="33"/>
      <c r="AD642" s="33">
        <f>Ruimtestaat[[#This Row],[uren / jaar weekend]]*Tariefsopbouw!$D$40</f>
        <v>0</v>
      </c>
      <c r="AE642" s="86">
        <f>Ruimtestaat[[#This Row],[Prest. (m2 /jaar) weekend]]+Ruimtestaat[[#This Row],[Prest. (m2 /jaar) werkdagen]]</f>
        <v>31920</v>
      </c>
      <c r="AF642" s="86">
        <f>Ruimtestaat[[#This Row],[uren / jaar weekend]]+Ruimtestaat[[#This Row],[uren / jaar werkdagen]]</f>
        <v>0</v>
      </c>
      <c r="AG642" s="87">
        <f>Ruimtestaat[[#This Row],[kosten / jaar weekend]]+Ruimtestaat[[#This Row],[kosten / jaar werkdagen]]</f>
        <v>0</v>
      </c>
    </row>
    <row r="643" spans="1:33" ht="15" customHeight="1">
      <c r="A643" s="187">
        <v>5</v>
      </c>
      <c r="B643" s="21" t="str">
        <f>VLOOKUP(Ruimtestaat[[#This Row],[Code]],Locaties[#All],2,FALSE)</f>
        <v>Potskamp</v>
      </c>
      <c r="C643" s="231" t="str">
        <f>VLOOKUP(Ruimtestaat[[#This Row],[Code]],Locaties[#All],4,FALSE)</f>
        <v>Potskampstraat 2</v>
      </c>
      <c r="D643" s="231" t="str">
        <f>VLOOKUP(Ruimtestaat[[#This Row],[Code]],Locaties[#All],5,FALSE)</f>
        <v>7573 CC</v>
      </c>
      <c r="E643" s="187" t="str">
        <f>VLOOKUP(Ruimtestaat[[#This Row],[Code]],Locaties[#All],6,FALSE)</f>
        <v>Oldenzaal</v>
      </c>
      <c r="F643" s="232"/>
      <c r="G643" s="187">
        <v>2</v>
      </c>
      <c r="H643" s="187" t="s">
        <v>782</v>
      </c>
      <c r="I643" s="232" t="s">
        <v>604</v>
      </c>
      <c r="J643" s="187">
        <v>16</v>
      </c>
      <c r="K643" s="187" t="str">
        <f>VLOOKUP(Ruimtestaat[[#This Row],[Ruimte code]],Ruimtegroepen[#All],2,FALSE)</f>
        <v>Leslokalen/computerlokaal</v>
      </c>
      <c r="L643" s="187" t="s">
        <v>109</v>
      </c>
      <c r="M643" s="187" t="s">
        <v>1203</v>
      </c>
      <c r="N643" s="200">
        <v>76</v>
      </c>
      <c r="O643" s="200"/>
      <c r="P643" s="231" t="str">
        <f>VLOOKUP(Ruimtestaat[[#This Row],[Ruimte code]],Ruimtegroepen[#All],4,FALSE)</f>
        <v>L  (Lesruimte)</v>
      </c>
      <c r="Q643" s="201"/>
      <c r="R643" s="202">
        <v>42</v>
      </c>
      <c r="S643" s="202" t="s">
        <v>2</v>
      </c>
      <c r="T643" s="202">
        <f>IF(R643&gt;0,IF(RIGHT(Ruimtestaat[[#This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43" s="202">
        <f>IF(T643&gt;0,VLOOKUP($J643,Ruimtegroepen[],3,FALSE)*VLOOKUP($L643,Vloersoorten[],3,FALSE)*VLOOKUP($S643,Frequenties[],3,FALSE)*VLOOKUP($A643,Locaties[],3,FALSE),0)</f>
        <v>0</v>
      </c>
      <c r="V643" s="202">
        <f>Ruimtestaat[[#This Row],[Uitvoeringen werkdagen]]*Ruimtestaat[[#This Row],[Oppervlak (netto)]]</f>
        <v>15960</v>
      </c>
      <c r="W643" s="242">
        <f>IF(U643&gt;0,Ruimtestaat[[#This Row],[Prest. (m2 /jaar) werkdagen]]/Ruimtestaat[[#This Row],[Norm (m2/uur) werkdagen]],0)</f>
        <v>0</v>
      </c>
      <c r="X643" s="243">
        <f>Ruimtestaat[[#This Row],[uren / jaar werkdagen]]*Tariefsopbouw!$D$38</f>
        <v>0</v>
      </c>
      <c r="Y643" s="33"/>
      <c r="Z643" s="33">
        <f>IF(Ruimtestaat[[#This Row],[Frequentie weekend]]&gt;0,VALUE(LEFT(Y643,1))*R643,0)</f>
        <v>0</v>
      </c>
      <c r="AA643" s="33">
        <f>IF($Z643&gt;0,VLOOKUP($J643,Ruimtegroepen[],3,FALSE)*VLOOKUP($L643,Vloersoorten[],3,FALSE)*VLOOKUP($Y643,Frequenties[],3,FALSE)*VLOOKUP(#REF!,Locaties[],3,FALSE),0)</f>
        <v>0</v>
      </c>
      <c r="AB643" s="33"/>
      <c r="AC643" s="33"/>
      <c r="AD643" s="33">
        <f>Ruimtestaat[[#This Row],[uren / jaar weekend]]*Tariefsopbouw!$D$40</f>
        <v>0</v>
      </c>
      <c r="AE643" s="86">
        <f>Ruimtestaat[[#This Row],[Prest. (m2 /jaar) weekend]]+Ruimtestaat[[#This Row],[Prest. (m2 /jaar) werkdagen]]</f>
        <v>15960</v>
      </c>
      <c r="AF643" s="86">
        <f>Ruimtestaat[[#This Row],[uren / jaar weekend]]+Ruimtestaat[[#This Row],[uren / jaar werkdagen]]</f>
        <v>0</v>
      </c>
      <c r="AG643" s="87">
        <f>Ruimtestaat[[#This Row],[kosten / jaar weekend]]+Ruimtestaat[[#This Row],[kosten / jaar werkdagen]]</f>
        <v>0</v>
      </c>
    </row>
    <row r="644" spans="1:33" ht="15" customHeight="1">
      <c r="A644" s="187">
        <v>5</v>
      </c>
      <c r="B644" s="21" t="str">
        <f>VLOOKUP(Ruimtestaat[[#This Row],[Code]],Locaties[#All],2,FALSE)</f>
        <v>Potskamp</v>
      </c>
      <c r="C644" s="231" t="str">
        <f>VLOOKUP(Ruimtestaat[[#This Row],[Code]],Locaties[#All],4,FALSE)</f>
        <v>Potskampstraat 2</v>
      </c>
      <c r="D644" s="231" t="str">
        <f>VLOOKUP(Ruimtestaat[[#This Row],[Code]],Locaties[#All],5,FALSE)</f>
        <v>7573 CC</v>
      </c>
      <c r="E644" s="187" t="str">
        <f>VLOOKUP(Ruimtestaat[[#This Row],[Code]],Locaties[#All],6,FALSE)</f>
        <v>Oldenzaal</v>
      </c>
      <c r="F644" s="232"/>
      <c r="G644" s="187">
        <v>2</v>
      </c>
      <c r="H644" s="187"/>
      <c r="I644" s="232" t="s">
        <v>783</v>
      </c>
      <c r="J644" s="231">
        <v>10</v>
      </c>
      <c r="K644" s="231" t="str">
        <f>VLOOKUP(Ruimtestaat[[#This Row],[Ruimte code]],Ruimtegroepen[#All],2,FALSE)</f>
        <v>Trappenhuizen/lift</v>
      </c>
      <c r="L644" s="202" t="s">
        <v>108</v>
      </c>
      <c r="M644" s="187" t="s">
        <v>1201</v>
      </c>
      <c r="N644" s="200">
        <v>4</v>
      </c>
      <c r="O644" s="200"/>
      <c r="P644" s="231" t="str">
        <f>VLOOKUP(Ruimtestaat[[#This Row],[Ruimte code]],Ruimtegroepen[#All],4,FALSE)</f>
        <v>V  (Verkeersruimte)</v>
      </c>
      <c r="Q644" s="201"/>
      <c r="R644" s="202">
        <v>42</v>
      </c>
      <c r="S644" s="202" t="s">
        <v>2</v>
      </c>
      <c r="T644" s="202">
        <f>IF(R644&gt;0,IF(RIGHT(Ruimtestaat[[#This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44" s="202">
        <f>IF(T644&gt;0,VLOOKUP($J644,Ruimtegroepen[],3,FALSE)*VLOOKUP($L644,Vloersoorten[],3,FALSE)*VLOOKUP($S644,Frequenties[],3,FALSE)*VLOOKUP($A644,Locaties[],3,FALSE),0)</f>
        <v>0</v>
      </c>
      <c r="V644" s="202">
        <f>Ruimtestaat[[#This Row],[Uitvoeringen werkdagen]]*Ruimtestaat[[#This Row],[Oppervlak (netto)]]</f>
        <v>840</v>
      </c>
      <c r="W644" s="242">
        <f>IF(U644&gt;0,Ruimtestaat[[#This Row],[Prest. (m2 /jaar) werkdagen]]/Ruimtestaat[[#This Row],[Norm (m2/uur) werkdagen]],0)</f>
        <v>0</v>
      </c>
      <c r="X644" s="243">
        <f>Ruimtestaat[[#This Row],[uren / jaar werkdagen]]*Tariefsopbouw!$D$38</f>
        <v>0</v>
      </c>
      <c r="Y644" s="33"/>
      <c r="Z644" s="33">
        <f>IF(Ruimtestaat[[#This Row],[Frequentie weekend]]&gt;0,VALUE(LEFT(Y644,1))*R644,0)</f>
        <v>0</v>
      </c>
      <c r="AA644" s="33">
        <f>IF($Z644&gt;0,VLOOKUP($J644,Ruimtegroepen[],3,FALSE)*VLOOKUP($L644,Vloersoorten[],3,FALSE)*VLOOKUP($Y644,Frequenties[],3,FALSE)*VLOOKUP(#REF!,Locaties[],3,FALSE),0)</f>
        <v>0</v>
      </c>
      <c r="AB644" s="33"/>
      <c r="AC644" s="33"/>
      <c r="AD644" s="33">
        <f>Ruimtestaat[[#This Row],[uren / jaar weekend]]*Tariefsopbouw!$D$40</f>
        <v>0</v>
      </c>
      <c r="AE644" s="86">
        <f>Ruimtestaat[[#This Row],[Prest. (m2 /jaar) weekend]]+Ruimtestaat[[#This Row],[Prest. (m2 /jaar) werkdagen]]</f>
        <v>840</v>
      </c>
      <c r="AF644" s="86">
        <f>Ruimtestaat[[#This Row],[uren / jaar weekend]]+Ruimtestaat[[#This Row],[uren / jaar werkdagen]]</f>
        <v>0</v>
      </c>
      <c r="AG644" s="87">
        <f>Ruimtestaat[[#This Row],[kosten / jaar weekend]]+Ruimtestaat[[#This Row],[kosten / jaar werkdagen]]</f>
        <v>0</v>
      </c>
    </row>
    <row r="645" spans="1:33" ht="15" customHeight="1">
      <c r="A645" s="187">
        <v>5</v>
      </c>
      <c r="B645" s="21" t="str">
        <f>VLOOKUP(Ruimtestaat[[#This Row],[Code]],Locaties[#All],2,FALSE)</f>
        <v>Potskamp</v>
      </c>
      <c r="C645" s="231" t="str">
        <f>VLOOKUP(Ruimtestaat[[#This Row],[Code]],Locaties[#All],4,FALSE)</f>
        <v>Potskampstraat 2</v>
      </c>
      <c r="D645" s="231" t="str">
        <f>VLOOKUP(Ruimtestaat[[#This Row],[Code]],Locaties[#All],5,FALSE)</f>
        <v>7573 CC</v>
      </c>
      <c r="E645" s="187" t="str">
        <f>VLOOKUP(Ruimtestaat[[#This Row],[Code]],Locaties[#All],6,FALSE)</f>
        <v>Oldenzaal</v>
      </c>
      <c r="F645" s="232"/>
      <c r="G645" s="187">
        <v>2</v>
      </c>
      <c r="H645" s="187"/>
      <c r="I645" s="232" t="s">
        <v>596</v>
      </c>
      <c r="J645" s="187">
        <v>10</v>
      </c>
      <c r="K645" s="187" t="str">
        <f>VLOOKUP(Ruimtestaat[[#This Row],[Ruimte code]],Ruimtegroepen[#All],2,FALSE)</f>
        <v>Trappenhuizen/lift</v>
      </c>
      <c r="L645" s="202" t="s">
        <v>108</v>
      </c>
      <c r="M645" s="187" t="s">
        <v>1201</v>
      </c>
      <c r="N645" s="200">
        <v>11</v>
      </c>
      <c r="O645" s="200"/>
      <c r="P645" s="231" t="str">
        <f>VLOOKUP(Ruimtestaat[[#This Row],[Ruimte code]],Ruimtegroepen[#All],4,FALSE)</f>
        <v>V  (Verkeersruimte)</v>
      </c>
      <c r="Q645" s="201"/>
      <c r="R645" s="202">
        <v>42</v>
      </c>
      <c r="S645" s="202" t="s">
        <v>2</v>
      </c>
      <c r="T645" s="202">
        <f>IF(R645&gt;0,IF(RIGHT(Ruimtestaat[[#This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45" s="202">
        <f>IF(T645&gt;0,VLOOKUP($J645,Ruimtegroepen[],3,FALSE)*VLOOKUP($L645,Vloersoorten[],3,FALSE)*VLOOKUP($S645,Frequenties[],3,FALSE)*VLOOKUP($A645,Locaties[],3,FALSE),0)</f>
        <v>0</v>
      </c>
      <c r="V645" s="202">
        <f>Ruimtestaat[[#This Row],[Uitvoeringen werkdagen]]*Ruimtestaat[[#This Row],[Oppervlak (netto)]]</f>
        <v>2310</v>
      </c>
      <c r="W645" s="242">
        <f>IF(U645&gt;0,Ruimtestaat[[#This Row],[Prest. (m2 /jaar) werkdagen]]/Ruimtestaat[[#This Row],[Norm (m2/uur) werkdagen]],0)</f>
        <v>0</v>
      </c>
      <c r="X645" s="243">
        <f>Ruimtestaat[[#This Row],[uren / jaar werkdagen]]*Tariefsopbouw!$D$38</f>
        <v>0</v>
      </c>
      <c r="Y645" s="33"/>
      <c r="Z645" s="33">
        <f>IF(Ruimtestaat[[#This Row],[Frequentie weekend]]&gt;0,VALUE(LEFT(Y645,1))*R645,0)</f>
        <v>0</v>
      </c>
      <c r="AA645" s="33">
        <f>IF($Z645&gt;0,VLOOKUP($J645,Ruimtegroepen[],3,FALSE)*VLOOKUP($L645,Vloersoorten[],3,FALSE)*VLOOKUP($Y645,Frequenties[],3,FALSE)*VLOOKUP(#REF!,Locaties[],3,FALSE),0)</f>
        <v>0</v>
      </c>
      <c r="AB645" s="33"/>
      <c r="AC645" s="33"/>
      <c r="AD645" s="33">
        <f>Ruimtestaat[[#This Row],[uren / jaar weekend]]*Tariefsopbouw!$D$40</f>
        <v>0</v>
      </c>
      <c r="AE645" s="86">
        <f>Ruimtestaat[[#This Row],[Prest. (m2 /jaar) weekend]]+Ruimtestaat[[#This Row],[Prest. (m2 /jaar) werkdagen]]</f>
        <v>2310</v>
      </c>
      <c r="AF645" s="86">
        <f>Ruimtestaat[[#This Row],[uren / jaar weekend]]+Ruimtestaat[[#This Row],[uren / jaar werkdagen]]</f>
        <v>0</v>
      </c>
      <c r="AG645" s="87">
        <f>Ruimtestaat[[#This Row],[kosten / jaar weekend]]+Ruimtestaat[[#This Row],[kosten / jaar werkdagen]]</f>
        <v>0</v>
      </c>
    </row>
    <row r="646" spans="1:33" ht="15" customHeight="1">
      <c r="A646" s="187">
        <v>5</v>
      </c>
      <c r="B646" s="21" t="str">
        <f>VLOOKUP(Ruimtestaat[[#This Row],[Code]],Locaties[#All],2,FALSE)</f>
        <v>Potskamp</v>
      </c>
      <c r="C646" s="231" t="str">
        <f>VLOOKUP(Ruimtestaat[[#This Row],[Code]],Locaties[#All],4,FALSE)</f>
        <v>Potskampstraat 2</v>
      </c>
      <c r="D646" s="231" t="str">
        <f>VLOOKUP(Ruimtestaat[[#This Row],[Code]],Locaties[#All],5,FALSE)</f>
        <v>7573 CC</v>
      </c>
      <c r="E646" s="187" t="str">
        <f>VLOOKUP(Ruimtestaat[[#This Row],[Code]],Locaties[#All],6,FALSE)</f>
        <v>Oldenzaal</v>
      </c>
      <c r="F646" s="232"/>
      <c r="G646" s="187" t="s">
        <v>679</v>
      </c>
      <c r="H646" s="187"/>
      <c r="I646" s="232" t="s">
        <v>372</v>
      </c>
      <c r="J646" s="187">
        <v>6</v>
      </c>
      <c r="K646" s="187" t="str">
        <f>VLOOKUP(Ruimtestaat[[#This Row],[Ruimte code]],Ruimtegroepen[#All],2,FALSE)</f>
        <v>Gangen/hallen</v>
      </c>
      <c r="L646" s="202" t="s">
        <v>108</v>
      </c>
      <c r="M646" s="187" t="s">
        <v>1211</v>
      </c>
      <c r="N646" s="200">
        <v>60</v>
      </c>
      <c r="O646" s="200"/>
      <c r="P646" s="231" t="str">
        <f>VLOOKUP(Ruimtestaat[[#This Row],[Ruimte code]],Ruimtegroepen[#All],4,FALSE)</f>
        <v>V  (Verkeersruimte)</v>
      </c>
      <c r="Q646" s="201"/>
      <c r="R646" s="202">
        <v>42</v>
      </c>
      <c r="S646" s="202" t="s">
        <v>2</v>
      </c>
      <c r="T646" s="202">
        <f>IF(R646&gt;0,IF(RIGHT(Ruimtestaat[[#This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46" s="202">
        <f>IF(T646&gt;0,VLOOKUP($J646,Ruimtegroepen[],3,FALSE)*VLOOKUP($L646,Vloersoorten[],3,FALSE)*VLOOKUP($S646,Frequenties[],3,FALSE)*VLOOKUP($A646,Locaties[],3,FALSE),0)</f>
        <v>0</v>
      </c>
      <c r="V646" s="202">
        <f>Ruimtestaat[[#This Row],[Uitvoeringen werkdagen]]*Ruimtestaat[[#This Row],[Oppervlak (netto)]]</f>
        <v>12600</v>
      </c>
      <c r="W646" s="242">
        <f>IF(U646&gt;0,Ruimtestaat[[#This Row],[Prest. (m2 /jaar) werkdagen]]/Ruimtestaat[[#This Row],[Norm (m2/uur) werkdagen]],0)</f>
        <v>0</v>
      </c>
      <c r="X646" s="243">
        <f>Ruimtestaat[[#This Row],[uren / jaar werkdagen]]*Tariefsopbouw!$D$38</f>
        <v>0</v>
      </c>
      <c r="Y646" s="33"/>
      <c r="Z646" s="33">
        <f>IF(Ruimtestaat[[#This Row],[Frequentie weekend]]&gt;0,VALUE(LEFT(Y646,1))*R646,0)</f>
        <v>0</v>
      </c>
      <c r="AA646" s="33">
        <f>IF($Z646&gt;0,VLOOKUP($J646,Ruimtegroepen[],3,FALSE)*VLOOKUP($L646,Vloersoorten[],3,FALSE)*VLOOKUP($Y646,Frequenties[],3,FALSE)*VLOOKUP(#REF!,Locaties[],3,FALSE),0)</f>
        <v>0</v>
      </c>
      <c r="AB646" s="33"/>
      <c r="AC646" s="33"/>
      <c r="AD646" s="33">
        <f>Ruimtestaat[[#This Row],[uren / jaar weekend]]*Tariefsopbouw!$D$40</f>
        <v>0</v>
      </c>
      <c r="AE646" s="86">
        <f>Ruimtestaat[[#This Row],[Prest. (m2 /jaar) weekend]]+Ruimtestaat[[#This Row],[Prest. (m2 /jaar) werkdagen]]</f>
        <v>12600</v>
      </c>
      <c r="AF646" s="86">
        <f>Ruimtestaat[[#This Row],[uren / jaar weekend]]+Ruimtestaat[[#This Row],[uren / jaar werkdagen]]</f>
        <v>0</v>
      </c>
      <c r="AG646" s="87">
        <f>Ruimtestaat[[#This Row],[kosten / jaar weekend]]+Ruimtestaat[[#This Row],[kosten / jaar werkdagen]]</f>
        <v>0</v>
      </c>
    </row>
    <row r="647" spans="1:33" ht="15" customHeight="1">
      <c r="A647" s="187">
        <v>5</v>
      </c>
      <c r="B647" s="21" t="str">
        <f>VLOOKUP(Ruimtestaat[[#This Row],[Code]],Locaties[#All],2,FALSE)</f>
        <v>Potskamp</v>
      </c>
      <c r="C647" s="231" t="str">
        <f>VLOOKUP(Ruimtestaat[[#This Row],[Code]],Locaties[#All],4,FALSE)</f>
        <v>Potskampstraat 2</v>
      </c>
      <c r="D647" s="231" t="str">
        <f>VLOOKUP(Ruimtestaat[[#This Row],[Code]],Locaties[#All],5,FALSE)</f>
        <v>7573 CC</v>
      </c>
      <c r="E647" s="187" t="str">
        <f>VLOOKUP(Ruimtestaat[[#This Row],[Code]],Locaties[#All],6,FALSE)</f>
        <v>Oldenzaal</v>
      </c>
      <c r="F647" s="232"/>
      <c r="G647" s="187" t="s">
        <v>679</v>
      </c>
      <c r="H647" s="187">
        <v>4</v>
      </c>
      <c r="I647" s="232" t="s">
        <v>437</v>
      </c>
      <c r="J647" s="231">
        <v>19</v>
      </c>
      <c r="K647" s="231" t="str">
        <f>VLOOKUP(Ruimtestaat[[#This Row],[Ruimte code]],Ruimtegroepen[#All],2,FALSE)</f>
        <v>Kleedruimtes</v>
      </c>
      <c r="L647" s="202" t="s">
        <v>108</v>
      </c>
      <c r="M647" s="187" t="s">
        <v>1201</v>
      </c>
      <c r="N647" s="200">
        <v>26</v>
      </c>
      <c r="O647" s="200"/>
      <c r="P647" s="231" t="str">
        <f>VLOOKUP(Ruimtestaat[[#This Row],[Ruimte code]],Ruimtegroepen[#All],4,FALSE)</f>
        <v>V  (Verkeersruimte)</v>
      </c>
      <c r="Q647" s="201"/>
      <c r="R647" s="202">
        <v>42</v>
      </c>
      <c r="S647" s="202" t="s">
        <v>2</v>
      </c>
      <c r="T647" s="202">
        <f>IF(R647&gt;0,IF(RIGHT(Ruimtestaat[[#This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47" s="202">
        <f>IF(T647&gt;0,VLOOKUP($J647,Ruimtegroepen[],3,FALSE)*VLOOKUP($L647,Vloersoorten[],3,FALSE)*VLOOKUP($S647,Frequenties[],3,FALSE)*VLOOKUP($A647,Locaties[],3,FALSE),0)</f>
        <v>0</v>
      </c>
      <c r="V647" s="202">
        <f>Ruimtestaat[[#This Row],[Uitvoeringen werkdagen]]*Ruimtestaat[[#This Row],[Oppervlak (netto)]]</f>
        <v>5460</v>
      </c>
      <c r="W647" s="242">
        <f>IF(U647&gt;0,Ruimtestaat[[#This Row],[Prest. (m2 /jaar) werkdagen]]/Ruimtestaat[[#This Row],[Norm (m2/uur) werkdagen]],0)</f>
        <v>0</v>
      </c>
      <c r="X647" s="243">
        <f>Ruimtestaat[[#This Row],[uren / jaar werkdagen]]*Tariefsopbouw!$D$38</f>
        <v>0</v>
      </c>
      <c r="Y647" s="33"/>
      <c r="Z647" s="33">
        <f>IF(Ruimtestaat[[#This Row],[Frequentie weekend]]&gt;0,VALUE(LEFT(Y647,1))*R647,0)</f>
        <v>0</v>
      </c>
      <c r="AA647" s="33">
        <f>IF($Z647&gt;0,VLOOKUP($J647,Ruimtegroepen[],3,FALSE)*VLOOKUP($L647,Vloersoorten[],3,FALSE)*VLOOKUP($Y647,Frequenties[],3,FALSE)*VLOOKUP(#REF!,Locaties[],3,FALSE),0)</f>
        <v>0</v>
      </c>
      <c r="AB647" s="33"/>
      <c r="AC647" s="33"/>
      <c r="AD647" s="33">
        <f>Ruimtestaat[[#This Row],[uren / jaar weekend]]*Tariefsopbouw!$D$40</f>
        <v>0</v>
      </c>
      <c r="AE647" s="86">
        <f>Ruimtestaat[[#This Row],[Prest. (m2 /jaar) weekend]]+Ruimtestaat[[#This Row],[Prest. (m2 /jaar) werkdagen]]</f>
        <v>5460</v>
      </c>
      <c r="AF647" s="86">
        <f>Ruimtestaat[[#This Row],[uren / jaar weekend]]+Ruimtestaat[[#This Row],[uren / jaar werkdagen]]</f>
        <v>0</v>
      </c>
      <c r="AG647" s="87">
        <f>Ruimtestaat[[#This Row],[kosten / jaar weekend]]+Ruimtestaat[[#This Row],[kosten / jaar werkdagen]]</f>
        <v>0</v>
      </c>
    </row>
    <row r="648" spans="1:33" ht="15" customHeight="1">
      <c r="A648" s="187">
        <v>5</v>
      </c>
      <c r="B648" s="21" t="str">
        <f>VLOOKUP(Ruimtestaat[[#This Row],[Code]],Locaties[#All],2,FALSE)</f>
        <v>Potskamp</v>
      </c>
      <c r="C648" s="231" t="str">
        <f>VLOOKUP(Ruimtestaat[[#This Row],[Code]],Locaties[#All],4,FALSE)</f>
        <v>Potskampstraat 2</v>
      </c>
      <c r="D648" s="231" t="str">
        <f>VLOOKUP(Ruimtestaat[[#This Row],[Code]],Locaties[#All],5,FALSE)</f>
        <v>7573 CC</v>
      </c>
      <c r="E648" s="187" t="str">
        <f>VLOOKUP(Ruimtestaat[[#This Row],[Code]],Locaties[#All],6,FALSE)</f>
        <v>Oldenzaal</v>
      </c>
      <c r="F648" s="232"/>
      <c r="G648" s="187" t="s">
        <v>679</v>
      </c>
      <c r="H648" s="187" t="s">
        <v>784</v>
      </c>
      <c r="I648" s="232" t="s">
        <v>767</v>
      </c>
      <c r="J648" s="231">
        <v>19</v>
      </c>
      <c r="K648" s="231" t="str">
        <f>VLOOKUP(Ruimtestaat[[#This Row],[Ruimte code]],Ruimtegroepen[#All],2,FALSE)</f>
        <v>Kleedruimtes</v>
      </c>
      <c r="L648" s="202" t="s">
        <v>108</v>
      </c>
      <c r="M648" s="187" t="s">
        <v>1201</v>
      </c>
      <c r="N648" s="200">
        <v>16</v>
      </c>
      <c r="O648" s="200"/>
      <c r="P648" s="231" t="str">
        <f>VLOOKUP(Ruimtestaat[[#This Row],[Ruimte code]],Ruimtegroepen[#All],4,FALSE)</f>
        <v>V  (Verkeersruimte)</v>
      </c>
      <c r="Q648" s="201"/>
      <c r="R648" s="202">
        <v>42</v>
      </c>
      <c r="S648" s="202" t="s">
        <v>2</v>
      </c>
      <c r="T648" s="202">
        <f>IF(R648&gt;0,IF(RIGHT(Ruimtestaat[[#This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48" s="202">
        <f>IF(T648&gt;0,VLOOKUP($J648,Ruimtegroepen[],3,FALSE)*VLOOKUP($L648,Vloersoorten[],3,FALSE)*VLOOKUP($S648,Frequenties[],3,FALSE)*VLOOKUP($A648,Locaties[],3,FALSE),0)</f>
        <v>0</v>
      </c>
      <c r="V648" s="202">
        <f>Ruimtestaat[[#This Row],[Uitvoeringen werkdagen]]*Ruimtestaat[[#This Row],[Oppervlak (netto)]]</f>
        <v>3360</v>
      </c>
      <c r="W648" s="242">
        <f>IF(U648&gt;0,Ruimtestaat[[#This Row],[Prest. (m2 /jaar) werkdagen]]/Ruimtestaat[[#This Row],[Norm (m2/uur) werkdagen]],0)</f>
        <v>0</v>
      </c>
      <c r="X648" s="243">
        <f>Ruimtestaat[[#This Row],[uren / jaar werkdagen]]*Tariefsopbouw!$D$38</f>
        <v>0</v>
      </c>
      <c r="Y648" s="33"/>
      <c r="Z648" s="33">
        <f>IF(Ruimtestaat[[#This Row],[Frequentie weekend]]&gt;0,VALUE(LEFT(Y648,1))*R648,0)</f>
        <v>0</v>
      </c>
      <c r="AA648" s="33">
        <f>IF($Z648&gt;0,VLOOKUP($J648,Ruimtegroepen[],3,FALSE)*VLOOKUP($L648,Vloersoorten[],3,FALSE)*VLOOKUP($Y648,Frequenties[],3,FALSE)*VLOOKUP(#REF!,Locaties[],3,FALSE),0)</f>
        <v>0</v>
      </c>
      <c r="AB648" s="33"/>
      <c r="AC648" s="33"/>
      <c r="AD648" s="33">
        <f>Ruimtestaat[[#This Row],[uren / jaar weekend]]*Tariefsopbouw!$D$40</f>
        <v>0</v>
      </c>
      <c r="AE648" s="86">
        <f>Ruimtestaat[[#This Row],[Prest. (m2 /jaar) weekend]]+Ruimtestaat[[#This Row],[Prest. (m2 /jaar) werkdagen]]</f>
        <v>3360</v>
      </c>
      <c r="AF648" s="86">
        <f>Ruimtestaat[[#This Row],[uren / jaar weekend]]+Ruimtestaat[[#This Row],[uren / jaar werkdagen]]</f>
        <v>0</v>
      </c>
      <c r="AG648" s="87">
        <f>Ruimtestaat[[#This Row],[kosten / jaar weekend]]+Ruimtestaat[[#This Row],[kosten / jaar werkdagen]]</f>
        <v>0</v>
      </c>
    </row>
    <row r="649" spans="1:33" ht="15" customHeight="1">
      <c r="A649" s="187">
        <v>5</v>
      </c>
      <c r="B649" s="21" t="str">
        <f>VLOOKUP(Ruimtestaat[[#This Row],[Code]],Locaties[#All],2,FALSE)</f>
        <v>Potskamp</v>
      </c>
      <c r="C649" s="231" t="str">
        <f>VLOOKUP(Ruimtestaat[[#This Row],[Code]],Locaties[#All],4,FALSE)</f>
        <v>Potskampstraat 2</v>
      </c>
      <c r="D649" s="231" t="str">
        <f>VLOOKUP(Ruimtestaat[[#This Row],[Code]],Locaties[#All],5,FALSE)</f>
        <v>7573 CC</v>
      </c>
      <c r="E649" s="187" t="str">
        <f>VLOOKUP(Ruimtestaat[[#This Row],[Code]],Locaties[#All],6,FALSE)</f>
        <v>Oldenzaal</v>
      </c>
      <c r="F649" s="232"/>
      <c r="G649" s="187" t="s">
        <v>679</v>
      </c>
      <c r="H649" s="187" t="s">
        <v>721</v>
      </c>
      <c r="I649" s="232" t="s">
        <v>767</v>
      </c>
      <c r="J649" s="187">
        <v>19</v>
      </c>
      <c r="K649" s="187" t="str">
        <f>VLOOKUP(Ruimtestaat[[#This Row],[Ruimte code]],Ruimtegroepen[#All],2,FALSE)</f>
        <v>Kleedruimtes</v>
      </c>
      <c r="L649" s="202" t="s">
        <v>108</v>
      </c>
      <c r="M649" s="187" t="s">
        <v>1201</v>
      </c>
      <c r="N649" s="200">
        <v>17</v>
      </c>
      <c r="O649" s="200"/>
      <c r="P649" s="231" t="str">
        <f>VLOOKUP(Ruimtestaat[[#This Row],[Ruimte code]],Ruimtegroepen[#All],4,FALSE)</f>
        <v>V  (Verkeersruimte)</v>
      </c>
      <c r="Q649" s="201"/>
      <c r="R649" s="202">
        <v>42</v>
      </c>
      <c r="S649" s="202" t="s">
        <v>2</v>
      </c>
      <c r="T649" s="202">
        <f>IF(R649&gt;0,IF(RIGHT(Ruimtestaat[[#This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49" s="202">
        <f>IF(T649&gt;0,VLOOKUP($J649,Ruimtegroepen[],3,FALSE)*VLOOKUP($L649,Vloersoorten[],3,FALSE)*VLOOKUP($S649,Frequenties[],3,FALSE)*VLOOKUP($A649,Locaties[],3,FALSE),0)</f>
        <v>0</v>
      </c>
      <c r="V649" s="202">
        <f>Ruimtestaat[[#This Row],[Uitvoeringen werkdagen]]*Ruimtestaat[[#This Row],[Oppervlak (netto)]]</f>
        <v>3570</v>
      </c>
      <c r="W649" s="242">
        <f>IF(U649&gt;0,Ruimtestaat[[#This Row],[Prest. (m2 /jaar) werkdagen]]/Ruimtestaat[[#This Row],[Norm (m2/uur) werkdagen]],0)</f>
        <v>0</v>
      </c>
      <c r="X649" s="243">
        <f>Ruimtestaat[[#This Row],[uren / jaar werkdagen]]*Tariefsopbouw!$D$38</f>
        <v>0</v>
      </c>
      <c r="Y649" s="33"/>
      <c r="Z649" s="33">
        <f>IF(Ruimtestaat[[#This Row],[Frequentie weekend]]&gt;0,VALUE(LEFT(Y649,1))*R649,0)</f>
        <v>0</v>
      </c>
      <c r="AA649" s="33">
        <f>IF($Z649&gt;0,VLOOKUP($J649,Ruimtegroepen[],3,FALSE)*VLOOKUP($L649,Vloersoorten[],3,FALSE)*VLOOKUP($Y649,Frequenties[],3,FALSE)*VLOOKUP(#REF!,Locaties[],3,FALSE),0)</f>
        <v>0</v>
      </c>
      <c r="AB649" s="33"/>
      <c r="AC649" s="33"/>
      <c r="AD649" s="33">
        <f>Ruimtestaat[[#This Row],[uren / jaar weekend]]*Tariefsopbouw!$D$40</f>
        <v>0</v>
      </c>
      <c r="AE649" s="86">
        <f>Ruimtestaat[[#This Row],[Prest. (m2 /jaar) weekend]]+Ruimtestaat[[#This Row],[Prest. (m2 /jaar) werkdagen]]</f>
        <v>3570</v>
      </c>
      <c r="AF649" s="86">
        <f>Ruimtestaat[[#This Row],[uren / jaar weekend]]+Ruimtestaat[[#This Row],[uren / jaar werkdagen]]</f>
        <v>0</v>
      </c>
      <c r="AG649" s="87">
        <f>Ruimtestaat[[#This Row],[kosten / jaar weekend]]+Ruimtestaat[[#This Row],[kosten / jaar werkdagen]]</f>
        <v>0</v>
      </c>
    </row>
    <row r="650" spans="1:33" ht="15" customHeight="1">
      <c r="A650" s="187">
        <v>5</v>
      </c>
      <c r="B650" s="21" t="str">
        <f>VLOOKUP(Ruimtestaat[[#This Row],[Code]],Locaties[#All],2,FALSE)</f>
        <v>Potskamp</v>
      </c>
      <c r="C650" s="231" t="str">
        <f>VLOOKUP(Ruimtestaat[[#This Row],[Code]],Locaties[#All],4,FALSE)</f>
        <v>Potskampstraat 2</v>
      </c>
      <c r="D650" s="231" t="str">
        <f>VLOOKUP(Ruimtestaat[[#This Row],[Code]],Locaties[#All],5,FALSE)</f>
        <v>7573 CC</v>
      </c>
      <c r="E650" s="187" t="str">
        <f>VLOOKUP(Ruimtestaat[[#This Row],[Code]],Locaties[#All],6,FALSE)</f>
        <v>Oldenzaal</v>
      </c>
      <c r="F650" s="232"/>
      <c r="G650" s="187" t="s">
        <v>679</v>
      </c>
      <c r="H650" s="187">
        <v>5</v>
      </c>
      <c r="I650" s="232" t="s">
        <v>437</v>
      </c>
      <c r="J650" s="187">
        <v>19</v>
      </c>
      <c r="K650" s="187" t="str">
        <f>VLOOKUP(Ruimtestaat[[#This Row],[Ruimte code]],Ruimtegroepen[#All],2,FALSE)</f>
        <v>Kleedruimtes</v>
      </c>
      <c r="L650" s="202" t="s">
        <v>108</v>
      </c>
      <c r="M650" s="187" t="s">
        <v>1201</v>
      </c>
      <c r="N650" s="200">
        <v>25</v>
      </c>
      <c r="O650" s="200"/>
      <c r="P650" s="231" t="str">
        <f>VLOOKUP(Ruimtestaat[[#This Row],[Ruimte code]],Ruimtegroepen[#All],4,FALSE)</f>
        <v>V  (Verkeersruimte)</v>
      </c>
      <c r="Q650" s="201"/>
      <c r="R650" s="202">
        <v>42</v>
      </c>
      <c r="S650" s="202" t="s">
        <v>2</v>
      </c>
      <c r="T650" s="202">
        <f>IF(R650&gt;0,IF(RIGHT(Ruimtestaat[[#This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50" s="202">
        <f>IF(T650&gt;0,VLOOKUP($J650,Ruimtegroepen[],3,FALSE)*VLOOKUP($L650,Vloersoorten[],3,FALSE)*VLOOKUP($S650,Frequenties[],3,FALSE)*VLOOKUP($A650,Locaties[],3,FALSE),0)</f>
        <v>0</v>
      </c>
      <c r="V650" s="202">
        <f>Ruimtestaat[[#This Row],[Uitvoeringen werkdagen]]*Ruimtestaat[[#This Row],[Oppervlak (netto)]]</f>
        <v>5250</v>
      </c>
      <c r="W650" s="242">
        <f>IF(U650&gt;0,Ruimtestaat[[#This Row],[Prest. (m2 /jaar) werkdagen]]/Ruimtestaat[[#This Row],[Norm (m2/uur) werkdagen]],0)</f>
        <v>0</v>
      </c>
      <c r="X650" s="243">
        <f>Ruimtestaat[[#This Row],[uren / jaar werkdagen]]*Tariefsopbouw!$D$38</f>
        <v>0</v>
      </c>
      <c r="Y650" s="33"/>
      <c r="Z650" s="33">
        <f>IF(Ruimtestaat[[#This Row],[Frequentie weekend]]&gt;0,VALUE(LEFT(Y650,1))*R650,0)</f>
        <v>0</v>
      </c>
      <c r="AA650" s="33">
        <f>IF($Z650&gt;0,VLOOKUP($J650,Ruimtegroepen[],3,FALSE)*VLOOKUP($L650,Vloersoorten[],3,FALSE)*VLOOKUP($Y650,Frequenties[],3,FALSE)*VLOOKUP(#REF!,Locaties[],3,FALSE),0)</f>
        <v>0</v>
      </c>
      <c r="AB650" s="33"/>
      <c r="AC650" s="33"/>
      <c r="AD650" s="33">
        <f>Ruimtestaat[[#This Row],[uren / jaar weekend]]*Tariefsopbouw!$D$40</f>
        <v>0</v>
      </c>
      <c r="AE650" s="86">
        <f>Ruimtestaat[[#This Row],[Prest. (m2 /jaar) weekend]]+Ruimtestaat[[#This Row],[Prest. (m2 /jaar) werkdagen]]</f>
        <v>5250</v>
      </c>
      <c r="AF650" s="86">
        <f>Ruimtestaat[[#This Row],[uren / jaar weekend]]+Ruimtestaat[[#This Row],[uren / jaar werkdagen]]</f>
        <v>0</v>
      </c>
      <c r="AG650" s="87">
        <f>Ruimtestaat[[#This Row],[kosten / jaar weekend]]+Ruimtestaat[[#This Row],[kosten / jaar werkdagen]]</f>
        <v>0</v>
      </c>
    </row>
    <row r="651" spans="1:33" ht="15" customHeight="1">
      <c r="A651" s="187">
        <v>5</v>
      </c>
      <c r="B651" s="21" t="str">
        <f>VLOOKUP(Ruimtestaat[[#This Row],[Code]],Locaties[#All],2,FALSE)</f>
        <v>Potskamp</v>
      </c>
      <c r="C651" s="231" t="str">
        <f>VLOOKUP(Ruimtestaat[[#This Row],[Code]],Locaties[#All],4,FALSE)</f>
        <v>Potskampstraat 2</v>
      </c>
      <c r="D651" s="231" t="str">
        <f>VLOOKUP(Ruimtestaat[[#This Row],[Code]],Locaties[#All],5,FALSE)</f>
        <v>7573 CC</v>
      </c>
      <c r="E651" s="187" t="str">
        <f>VLOOKUP(Ruimtestaat[[#This Row],[Code]],Locaties[#All],6,FALSE)</f>
        <v>Oldenzaal</v>
      </c>
      <c r="F651" s="232"/>
      <c r="G651" s="187" t="s">
        <v>679</v>
      </c>
      <c r="H651" s="187" t="s">
        <v>721</v>
      </c>
      <c r="I651" s="232" t="s">
        <v>767</v>
      </c>
      <c r="J651" s="245">
        <v>19</v>
      </c>
      <c r="K651" s="245" t="str">
        <f>VLOOKUP(Ruimtestaat[[#This Row],[Ruimte code]],Ruimtegroepen[#All],2,FALSE)</f>
        <v>Kleedruimtes</v>
      </c>
      <c r="L651" s="202" t="s">
        <v>108</v>
      </c>
      <c r="M651" s="187" t="s">
        <v>1201</v>
      </c>
      <c r="N651" s="200">
        <v>20</v>
      </c>
      <c r="O651" s="200"/>
      <c r="P651" s="231" t="str">
        <f>VLOOKUP(Ruimtestaat[[#This Row],[Ruimte code]],Ruimtegroepen[#All],4,FALSE)</f>
        <v>V  (Verkeersruimte)</v>
      </c>
      <c r="Q651" s="201"/>
      <c r="R651" s="202">
        <v>42</v>
      </c>
      <c r="S651" s="202" t="s">
        <v>2</v>
      </c>
      <c r="T651" s="202">
        <f>IF(R651&gt;0,IF(RIGHT(Ruimtestaat[[#This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51" s="202">
        <f>IF(T651&gt;0,VLOOKUP($J651,Ruimtegroepen[],3,FALSE)*VLOOKUP($L651,Vloersoorten[],3,FALSE)*VLOOKUP($S651,Frequenties[],3,FALSE)*VLOOKUP($A651,Locaties[],3,FALSE),0)</f>
        <v>0</v>
      </c>
      <c r="V651" s="202">
        <f>Ruimtestaat[[#This Row],[Uitvoeringen werkdagen]]*Ruimtestaat[[#This Row],[Oppervlak (netto)]]</f>
        <v>4200</v>
      </c>
      <c r="W651" s="242">
        <f>IF(U651&gt;0,Ruimtestaat[[#This Row],[Prest. (m2 /jaar) werkdagen]]/Ruimtestaat[[#This Row],[Norm (m2/uur) werkdagen]],0)</f>
        <v>0</v>
      </c>
      <c r="X651" s="243">
        <f>Ruimtestaat[[#This Row],[uren / jaar werkdagen]]*Tariefsopbouw!$D$38</f>
        <v>0</v>
      </c>
      <c r="Y651" s="33"/>
      <c r="Z651" s="33">
        <f>IF(Ruimtestaat[[#This Row],[Frequentie weekend]]&gt;0,VALUE(LEFT(Y651,1))*R651,0)</f>
        <v>0</v>
      </c>
      <c r="AA651" s="33">
        <f>IF($Z651&gt;0,VLOOKUP($J651,Ruimtegroepen[],3,FALSE)*VLOOKUP($L651,Vloersoorten[],3,FALSE)*VLOOKUP($Y651,Frequenties[],3,FALSE)*VLOOKUP(#REF!,Locaties[],3,FALSE),0)</f>
        <v>0</v>
      </c>
      <c r="AB651" s="33"/>
      <c r="AC651" s="33"/>
      <c r="AD651" s="33">
        <f>Ruimtestaat[[#This Row],[uren / jaar weekend]]*Tariefsopbouw!$D$40</f>
        <v>0</v>
      </c>
      <c r="AE651" s="86">
        <f>Ruimtestaat[[#This Row],[Prest. (m2 /jaar) weekend]]+Ruimtestaat[[#This Row],[Prest. (m2 /jaar) werkdagen]]</f>
        <v>4200</v>
      </c>
      <c r="AF651" s="86">
        <f>Ruimtestaat[[#This Row],[uren / jaar weekend]]+Ruimtestaat[[#This Row],[uren / jaar werkdagen]]</f>
        <v>0</v>
      </c>
      <c r="AG651" s="87">
        <f>Ruimtestaat[[#This Row],[kosten / jaar weekend]]+Ruimtestaat[[#This Row],[kosten / jaar werkdagen]]</f>
        <v>0</v>
      </c>
    </row>
    <row r="652" spans="1:33" ht="15" customHeight="1">
      <c r="A652" s="187">
        <v>5</v>
      </c>
      <c r="B652" s="21" t="str">
        <f>VLOOKUP(Ruimtestaat[[#This Row],[Code]],Locaties[#All],2,FALSE)</f>
        <v>Potskamp</v>
      </c>
      <c r="C652" s="231" t="str">
        <f>VLOOKUP(Ruimtestaat[[#This Row],[Code]],Locaties[#All],4,FALSE)</f>
        <v>Potskampstraat 2</v>
      </c>
      <c r="D652" s="231" t="str">
        <f>VLOOKUP(Ruimtestaat[[#This Row],[Code]],Locaties[#All],5,FALSE)</f>
        <v>7573 CC</v>
      </c>
      <c r="E652" s="187" t="str">
        <f>VLOOKUP(Ruimtestaat[[#This Row],[Code]],Locaties[#All],6,FALSE)</f>
        <v>Oldenzaal</v>
      </c>
      <c r="F652" s="232"/>
      <c r="G652" s="187" t="s">
        <v>679</v>
      </c>
      <c r="H652" s="187"/>
      <c r="I652" s="232" t="s">
        <v>698</v>
      </c>
      <c r="J652" s="187">
        <v>5</v>
      </c>
      <c r="K652" s="187" t="str">
        <f>VLOOKUP(Ruimtestaat[[#This Row],[Ruimte code]],Ruimtegroepen[#All],2,FALSE)</f>
        <v>Sanitair</v>
      </c>
      <c r="L652" s="202" t="s">
        <v>108</v>
      </c>
      <c r="M652" s="187" t="s">
        <v>1201</v>
      </c>
      <c r="N652" s="200">
        <v>7</v>
      </c>
      <c r="O652" s="200"/>
      <c r="P652" s="231" t="str">
        <f>VLOOKUP(Ruimtestaat[[#This Row],[Ruimte code]],Ruimtegroepen[#All],4,FALSE)</f>
        <v>S  (Sanitair)</v>
      </c>
      <c r="Q652" s="201"/>
      <c r="R652" s="202">
        <v>42</v>
      </c>
      <c r="S652" s="202" t="s">
        <v>19</v>
      </c>
      <c r="T652" s="202">
        <f>IF(R652&gt;0,IF(RIGHT(Ruimtestaat[[#This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652" s="202">
        <f>IF(T652&gt;0,VLOOKUP($J652,Ruimtegroepen[],3,FALSE)*VLOOKUP($L652,Vloersoorten[],3,FALSE)*VLOOKUP($S652,Frequenties[],3,FALSE)*VLOOKUP($A652,Locaties[],3,FALSE),0)</f>
        <v>0</v>
      </c>
      <c r="V652" s="202">
        <f>Ruimtestaat[[#This Row],[Uitvoeringen werkdagen]]*Ruimtestaat[[#This Row],[Oppervlak (netto)]]</f>
        <v>2940</v>
      </c>
      <c r="W652" s="242">
        <f>IF(U652&gt;0,Ruimtestaat[[#This Row],[Prest. (m2 /jaar) werkdagen]]/Ruimtestaat[[#This Row],[Norm (m2/uur) werkdagen]],0)</f>
        <v>0</v>
      </c>
      <c r="X652" s="243">
        <f>Ruimtestaat[[#This Row],[uren / jaar werkdagen]]*Tariefsopbouw!$D$38</f>
        <v>0</v>
      </c>
      <c r="Y652" s="33"/>
      <c r="Z652" s="33">
        <f>IF(Ruimtestaat[[#This Row],[Frequentie weekend]]&gt;0,VALUE(LEFT(Y652,1))*R652,0)</f>
        <v>0</v>
      </c>
      <c r="AA652" s="33">
        <f>IF($Z652&gt;0,VLOOKUP($J652,Ruimtegroepen[],3,FALSE)*VLOOKUP($L652,Vloersoorten[],3,FALSE)*VLOOKUP($Y652,Frequenties[],3,FALSE)*VLOOKUP(#REF!,Locaties[],3,FALSE),0)</f>
        <v>0</v>
      </c>
      <c r="AB652" s="33"/>
      <c r="AC652" s="33"/>
      <c r="AD652" s="33">
        <f>Ruimtestaat[[#This Row],[uren / jaar weekend]]*Tariefsopbouw!$D$40</f>
        <v>0</v>
      </c>
      <c r="AE652" s="86">
        <f>Ruimtestaat[[#This Row],[Prest. (m2 /jaar) weekend]]+Ruimtestaat[[#This Row],[Prest. (m2 /jaar) werkdagen]]</f>
        <v>2940</v>
      </c>
      <c r="AF652" s="86">
        <f>Ruimtestaat[[#This Row],[uren / jaar weekend]]+Ruimtestaat[[#This Row],[uren / jaar werkdagen]]</f>
        <v>0</v>
      </c>
      <c r="AG652" s="87">
        <f>Ruimtestaat[[#This Row],[kosten / jaar weekend]]+Ruimtestaat[[#This Row],[kosten / jaar werkdagen]]</f>
        <v>0</v>
      </c>
    </row>
    <row r="653" spans="1:33" ht="15" customHeight="1">
      <c r="A653" s="187">
        <v>5</v>
      </c>
      <c r="B653" s="21" t="str">
        <f>VLOOKUP(Ruimtestaat[[#This Row],[Code]],Locaties[#All],2,FALSE)</f>
        <v>Potskamp</v>
      </c>
      <c r="C653" s="231" t="str">
        <f>VLOOKUP(Ruimtestaat[[#This Row],[Code]],Locaties[#All],4,FALSE)</f>
        <v>Potskampstraat 2</v>
      </c>
      <c r="D653" s="231" t="str">
        <f>VLOOKUP(Ruimtestaat[[#This Row],[Code]],Locaties[#All],5,FALSE)</f>
        <v>7573 CC</v>
      </c>
      <c r="E653" s="187" t="str">
        <f>VLOOKUP(Ruimtestaat[[#This Row],[Code]],Locaties[#All],6,FALSE)</f>
        <v>Oldenzaal</v>
      </c>
      <c r="F653" s="232"/>
      <c r="G653" s="187" t="s">
        <v>679</v>
      </c>
      <c r="H653" s="187"/>
      <c r="I653" s="232" t="s">
        <v>698</v>
      </c>
      <c r="J653" s="187">
        <v>5</v>
      </c>
      <c r="K653" s="187" t="str">
        <f>VLOOKUP(Ruimtestaat[[#This Row],[Ruimte code]],Ruimtegroepen[#All],2,FALSE)</f>
        <v>Sanitair</v>
      </c>
      <c r="L653" s="202" t="s">
        <v>108</v>
      </c>
      <c r="M653" s="187" t="s">
        <v>1201</v>
      </c>
      <c r="N653" s="200">
        <v>7</v>
      </c>
      <c r="O653" s="200"/>
      <c r="P653" s="231" t="str">
        <f>VLOOKUP(Ruimtestaat[[#This Row],[Ruimte code]],Ruimtegroepen[#All],4,FALSE)</f>
        <v>S  (Sanitair)</v>
      </c>
      <c r="Q653" s="201"/>
      <c r="R653" s="202">
        <v>42</v>
      </c>
      <c r="S653" s="202" t="s">
        <v>19</v>
      </c>
      <c r="T653" s="202">
        <f>IF(R653&gt;0,IF(RIGHT(Ruimtestaat[[#This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653" s="202">
        <f>IF(T653&gt;0,VLOOKUP($J653,Ruimtegroepen[],3,FALSE)*VLOOKUP($L653,Vloersoorten[],3,FALSE)*VLOOKUP($S653,Frequenties[],3,FALSE)*VLOOKUP($A653,Locaties[],3,FALSE),0)</f>
        <v>0</v>
      </c>
      <c r="V653" s="202">
        <f>Ruimtestaat[[#This Row],[Uitvoeringen werkdagen]]*Ruimtestaat[[#This Row],[Oppervlak (netto)]]</f>
        <v>2940</v>
      </c>
      <c r="W653" s="242">
        <f>IF(U653&gt;0,Ruimtestaat[[#This Row],[Prest. (m2 /jaar) werkdagen]]/Ruimtestaat[[#This Row],[Norm (m2/uur) werkdagen]],0)</f>
        <v>0</v>
      </c>
      <c r="X653" s="243">
        <f>Ruimtestaat[[#This Row],[uren / jaar werkdagen]]*Tariefsopbouw!$D$38</f>
        <v>0</v>
      </c>
      <c r="Y653" s="33"/>
      <c r="Z653" s="33">
        <f>IF(Ruimtestaat[[#This Row],[Frequentie weekend]]&gt;0,VALUE(LEFT(Y653,1))*R653,0)</f>
        <v>0</v>
      </c>
      <c r="AA653" s="33">
        <f>IF($Z653&gt;0,VLOOKUP($J653,Ruimtegroepen[],3,FALSE)*VLOOKUP($L653,Vloersoorten[],3,FALSE)*VLOOKUP($Y653,Frequenties[],3,FALSE)*VLOOKUP(#REF!,Locaties[],3,FALSE),0)</f>
        <v>0</v>
      </c>
      <c r="AB653" s="33"/>
      <c r="AC653" s="33"/>
      <c r="AD653" s="33">
        <f>Ruimtestaat[[#This Row],[uren / jaar weekend]]*Tariefsopbouw!$D$40</f>
        <v>0</v>
      </c>
      <c r="AE653" s="86">
        <f>Ruimtestaat[[#This Row],[Prest. (m2 /jaar) weekend]]+Ruimtestaat[[#This Row],[Prest. (m2 /jaar) werkdagen]]</f>
        <v>2940</v>
      </c>
      <c r="AF653" s="86">
        <f>Ruimtestaat[[#This Row],[uren / jaar weekend]]+Ruimtestaat[[#This Row],[uren / jaar werkdagen]]</f>
        <v>0</v>
      </c>
      <c r="AG653" s="87">
        <f>Ruimtestaat[[#This Row],[kosten / jaar weekend]]+Ruimtestaat[[#This Row],[kosten / jaar werkdagen]]</f>
        <v>0</v>
      </c>
    </row>
    <row r="654" spans="1:33" ht="15" customHeight="1">
      <c r="A654" s="187">
        <v>5</v>
      </c>
      <c r="B654" s="21" t="str">
        <f>VLOOKUP(Ruimtestaat[[#This Row],[Code]],Locaties[#All],2,FALSE)</f>
        <v>Potskamp</v>
      </c>
      <c r="C654" s="231" t="str">
        <f>VLOOKUP(Ruimtestaat[[#This Row],[Code]],Locaties[#All],4,FALSE)</f>
        <v>Potskampstraat 2</v>
      </c>
      <c r="D654" s="231" t="str">
        <f>VLOOKUP(Ruimtestaat[[#This Row],[Code]],Locaties[#All],5,FALSE)</f>
        <v>7573 CC</v>
      </c>
      <c r="E654" s="187" t="str">
        <f>VLOOKUP(Ruimtestaat[[#This Row],[Code]],Locaties[#All],6,FALSE)</f>
        <v>Oldenzaal</v>
      </c>
      <c r="F654" s="232"/>
      <c r="G654" s="187" t="s">
        <v>679</v>
      </c>
      <c r="H654" s="187">
        <v>5</v>
      </c>
      <c r="I654" s="232" t="s">
        <v>619</v>
      </c>
      <c r="J654" s="187">
        <v>18</v>
      </c>
      <c r="K654" s="187" t="str">
        <f>VLOOKUP(Ruimtestaat[[#This Row],[Ruimte code]],Ruimtegroepen[#All],2,FALSE)</f>
        <v>Gymzaal</v>
      </c>
      <c r="L654" s="187" t="s">
        <v>109</v>
      </c>
      <c r="M654" s="187" t="s">
        <v>1208</v>
      </c>
      <c r="N654" s="200">
        <v>216</v>
      </c>
      <c r="O654" s="200"/>
      <c r="P654" s="231" t="str">
        <f>VLOOKUP(Ruimtestaat[[#This Row],[Ruimte code]],Ruimtegroepen[#All],4,FALSE)</f>
        <v>Sp  (Sportruimte)</v>
      </c>
      <c r="Q654" s="201"/>
      <c r="R654" s="202">
        <v>42</v>
      </c>
      <c r="S654" s="202" t="s">
        <v>2</v>
      </c>
      <c r="T654" s="202">
        <f>IF(R654&gt;0,IF(RIGHT(Ruimtestaat[[#This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54" s="202">
        <f>IF(T654&gt;0,VLOOKUP($J654,Ruimtegroepen[],3,FALSE)*VLOOKUP($L654,Vloersoorten[],3,FALSE)*VLOOKUP($S654,Frequenties[],3,FALSE)*VLOOKUP($A654,Locaties[],3,FALSE),0)</f>
        <v>0</v>
      </c>
      <c r="V654" s="202">
        <f>Ruimtestaat[[#This Row],[Uitvoeringen werkdagen]]*Ruimtestaat[[#This Row],[Oppervlak (netto)]]</f>
        <v>45360</v>
      </c>
      <c r="W654" s="242">
        <f>IF(U654&gt;0,Ruimtestaat[[#This Row],[Prest. (m2 /jaar) werkdagen]]/Ruimtestaat[[#This Row],[Norm (m2/uur) werkdagen]],0)</f>
        <v>0</v>
      </c>
      <c r="X654" s="243">
        <f>Ruimtestaat[[#This Row],[uren / jaar werkdagen]]*Tariefsopbouw!$D$38</f>
        <v>0</v>
      </c>
      <c r="Y654" s="33"/>
      <c r="Z654" s="33">
        <f>IF(Ruimtestaat[[#This Row],[Frequentie weekend]]&gt;0,VALUE(LEFT(Y654,1))*R654,0)</f>
        <v>0</v>
      </c>
      <c r="AA654" s="33">
        <f>IF($Z654&gt;0,VLOOKUP($J654,Ruimtegroepen[],3,FALSE)*VLOOKUP($L654,Vloersoorten[],3,FALSE)*VLOOKUP($Y654,Frequenties[],3,FALSE)*VLOOKUP(#REF!,Locaties[],3,FALSE),0)</f>
        <v>0</v>
      </c>
      <c r="AB654" s="33"/>
      <c r="AC654" s="33"/>
      <c r="AD654" s="33">
        <f>Ruimtestaat[[#This Row],[uren / jaar weekend]]*Tariefsopbouw!$D$40</f>
        <v>0</v>
      </c>
      <c r="AE654" s="86">
        <f>Ruimtestaat[[#This Row],[Prest. (m2 /jaar) weekend]]+Ruimtestaat[[#This Row],[Prest. (m2 /jaar) werkdagen]]</f>
        <v>45360</v>
      </c>
      <c r="AF654" s="86">
        <f>Ruimtestaat[[#This Row],[uren / jaar weekend]]+Ruimtestaat[[#This Row],[uren / jaar werkdagen]]</f>
        <v>0</v>
      </c>
      <c r="AG654" s="87">
        <f>Ruimtestaat[[#This Row],[kosten / jaar weekend]]+Ruimtestaat[[#This Row],[kosten / jaar werkdagen]]</f>
        <v>0</v>
      </c>
    </row>
    <row r="655" spans="1:33" ht="15" customHeight="1">
      <c r="A655" s="187">
        <v>5</v>
      </c>
      <c r="B655" s="21" t="str">
        <f>VLOOKUP(Ruimtestaat[[#This Row],[Code]],Locaties[#All],2,FALSE)</f>
        <v>Potskamp</v>
      </c>
      <c r="C655" s="231" t="str">
        <f>VLOOKUP(Ruimtestaat[[#This Row],[Code]],Locaties[#All],4,FALSE)</f>
        <v>Potskampstraat 2</v>
      </c>
      <c r="D655" s="231" t="str">
        <f>VLOOKUP(Ruimtestaat[[#This Row],[Code]],Locaties[#All],5,FALSE)</f>
        <v>7573 CC</v>
      </c>
      <c r="E655" s="187" t="str">
        <f>VLOOKUP(Ruimtestaat[[#This Row],[Code]],Locaties[#All],6,FALSE)</f>
        <v>Oldenzaal</v>
      </c>
      <c r="F655" s="232"/>
      <c r="G655" s="187" t="s">
        <v>679</v>
      </c>
      <c r="H655" s="187">
        <v>4</v>
      </c>
      <c r="I655" s="232" t="s">
        <v>619</v>
      </c>
      <c r="J655" s="187">
        <v>18</v>
      </c>
      <c r="K655" s="187" t="str">
        <f>VLOOKUP(Ruimtestaat[[#This Row],[Ruimte code]],Ruimtegroepen[#All],2,FALSE)</f>
        <v>Gymzaal</v>
      </c>
      <c r="L655" s="187" t="s">
        <v>109</v>
      </c>
      <c r="M655" s="187" t="s">
        <v>1208</v>
      </c>
      <c r="N655" s="200">
        <v>216</v>
      </c>
      <c r="O655" s="200"/>
      <c r="P655" s="231" t="str">
        <f>VLOOKUP(Ruimtestaat[[#This Row],[Ruimte code]],Ruimtegroepen[#All],4,FALSE)</f>
        <v>Sp  (Sportruimte)</v>
      </c>
      <c r="Q655" s="201"/>
      <c r="R655" s="202">
        <v>42</v>
      </c>
      <c r="S655" s="202" t="s">
        <v>2</v>
      </c>
      <c r="T655" s="202">
        <f>IF(R655&gt;0,IF(RIGHT(Ruimtestaat[[#This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55" s="202">
        <f>IF(T655&gt;0,VLOOKUP($J655,Ruimtegroepen[],3,FALSE)*VLOOKUP($L655,Vloersoorten[],3,FALSE)*VLOOKUP($S655,Frequenties[],3,FALSE)*VLOOKUP($A655,Locaties[],3,FALSE),0)</f>
        <v>0</v>
      </c>
      <c r="V655" s="202">
        <f>Ruimtestaat[[#This Row],[Uitvoeringen werkdagen]]*Ruimtestaat[[#This Row],[Oppervlak (netto)]]</f>
        <v>45360</v>
      </c>
      <c r="W655" s="242">
        <f>IF(U655&gt;0,Ruimtestaat[[#This Row],[Prest. (m2 /jaar) werkdagen]]/Ruimtestaat[[#This Row],[Norm (m2/uur) werkdagen]],0)</f>
        <v>0</v>
      </c>
      <c r="X655" s="243">
        <f>Ruimtestaat[[#This Row],[uren / jaar werkdagen]]*Tariefsopbouw!$D$38</f>
        <v>0</v>
      </c>
      <c r="Y655" s="33"/>
      <c r="Z655" s="33">
        <f>IF(Ruimtestaat[[#This Row],[Frequentie weekend]]&gt;0,VALUE(LEFT(Y655,1))*R655,0)</f>
        <v>0</v>
      </c>
      <c r="AA655" s="33">
        <f>IF($Z655&gt;0,VLOOKUP($J655,Ruimtegroepen[],3,FALSE)*VLOOKUP($L655,Vloersoorten[],3,FALSE)*VLOOKUP($Y655,Frequenties[],3,FALSE)*VLOOKUP(#REF!,Locaties[],3,FALSE),0)</f>
        <v>0</v>
      </c>
      <c r="AB655" s="33"/>
      <c r="AC655" s="33"/>
      <c r="AD655" s="33">
        <f>Ruimtestaat[[#This Row],[uren / jaar weekend]]*Tariefsopbouw!$D$40</f>
        <v>0</v>
      </c>
      <c r="AE655" s="86">
        <f>Ruimtestaat[[#This Row],[Prest. (m2 /jaar) weekend]]+Ruimtestaat[[#This Row],[Prest. (m2 /jaar) werkdagen]]</f>
        <v>45360</v>
      </c>
      <c r="AF655" s="86">
        <f>Ruimtestaat[[#This Row],[uren / jaar weekend]]+Ruimtestaat[[#This Row],[uren / jaar werkdagen]]</f>
        <v>0</v>
      </c>
      <c r="AG655" s="87">
        <f>Ruimtestaat[[#This Row],[kosten / jaar weekend]]+Ruimtestaat[[#This Row],[kosten / jaar werkdagen]]</f>
        <v>0</v>
      </c>
    </row>
    <row r="656" spans="1:33" ht="15" customHeight="1">
      <c r="A656" s="187">
        <v>5</v>
      </c>
      <c r="B656" s="21" t="str">
        <f>VLOOKUP(Ruimtestaat[[#This Row],[Code]],Locaties[#All],2,FALSE)</f>
        <v>Potskamp</v>
      </c>
      <c r="C656" s="231" t="str">
        <f>VLOOKUP(Ruimtestaat[[#This Row],[Code]],Locaties[#All],4,FALSE)</f>
        <v>Potskampstraat 2</v>
      </c>
      <c r="D656" s="231" t="str">
        <f>VLOOKUP(Ruimtestaat[[#This Row],[Code]],Locaties[#All],5,FALSE)</f>
        <v>7573 CC</v>
      </c>
      <c r="E656" s="187" t="str">
        <f>VLOOKUP(Ruimtestaat[[#This Row],[Code]],Locaties[#All],6,FALSE)</f>
        <v>Oldenzaal</v>
      </c>
      <c r="F656" s="232"/>
      <c r="G656" s="187" t="s">
        <v>679</v>
      </c>
      <c r="H656" s="187">
        <v>6</v>
      </c>
      <c r="I656" s="232" t="s">
        <v>590</v>
      </c>
      <c r="J656" s="187">
        <v>2</v>
      </c>
      <c r="K656" s="187" t="str">
        <f>VLOOKUP(Ruimtestaat[[#This Row],[Ruimte code]],Ruimtegroepen[#All],2,FALSE)</f>
        <v>Kantoren/kantoortuin</v>
      </c>
      <c r="L656" s="202" t="s">
        <v>108</v>
      </c>
      <c r="M656" s="187" t="s">
        <v>1201</v>
      </c>
      <c r="N656" s="200">
        <v>13</v>
      </c>
      <c r="O656" s="200"/>
      <c r="P656" s="231" t="str">
        <f>VLOOKUP(Ruimtestaat[[#This Row],[Ruimte code]],Ruimtegroepen[#All],4,FALSE)</f>
        <v>B  (Bureauruimte)</v>
      </c>
      <c r="Q656" s="201"/>
      <c r="R656" s="202">
        <v>42</v>
      </c>
      <c r="S656" s="202" t="s">
        <v>2</v>
      </c>
      <c r="T656" s="202">
        <f>IF(R656&gt;0,IF(RIGHT(Ruimtestaat[[#This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56" s="202">
        <f>IF(T656&gt;0,VLOOKUP($J656,Ruimtegroepen[],3,FALSE)*VLOOKUP($L656,Vloersoorten[],3,FALSE)*VLOOKUP($S656,Frequenties[],3,FALSE)*VLOOKUP($A656,Locaties[],3,FALSE),0)</f>
        <v>0</v>
      </c>
      <c r="V656" s="202">
        <f>Ruimtestaat[[#This Row],[Uitvoeringen werkdagen]]*Ruimtestaat[[#This Row],[Oppervlak (netto)]]</f>
        <v>2730</v>
      </c>
      <c r="W656" s="242">
        <f>IF(U656&gt;0,Ruimtestaat[[#This Row],[Prest. (m2 /jaar) werkdagen]]/Ruimtestaat[[#This Row],[Norm (m2/uur) werkdagen]],0)</f>
        <v>0</v>
      </c>
      <c r="X656" s="243">
        <f>Ruimtestaat[[#This Row],[uren / jaar werkdagen]]*Tariefsopbouw!$D$38</f>
        <v>0</v>
      </c>
      <c r="Y656" s="33"/>
      <c r="Z656" s="33">
        <f>IF(Ruimtestaat[[#This Row],[Frequentie weekend]]&gt;0,VALUE(LEFT(Y656,1))*R656,0)</f>
        <v>0</v>
      </c>
      <c r="AA656" s="33">
        <f>IF($Z656&gt;0,VLOOKUP($J656,Ruimtegroepen[],3,FALSE)*VLOOKUP($L656,Vloersoorten[],3,FALSE)*VLOOKUP($Y656,Frequenties[],3,FALSE)*VLOOKUP(#REF!,Locaties[],3,FALSE),0)</f>
        <v>0</v>
      </c>
      <c r="AB656" s="33"/>
      <c r="AC656" s="33"/>
      <c r="AD656" s="33">
        <f>Ruimtestaat[[#This Row],[uren / jaar weekend]]*Tariefsopbouw!$D$40</f>
        <v>0</v>
      </c>
      <c r="AE656" s="86">
        <f>Ruimtestaat[[#This Row],[Prest. (m2 /jaar) weekend]]+Ruimtestaat[[#This Row],[Prest. (m2 /jaar) werkdagen]]</f>
        <v>2730</v>
      </c>
      <c r="AF656" s="86">
        <f>Ruimtestaat[[#This Row],[uren / jaar weekend]]+Ruimtestaat[[#This Row],[uren / jaar werkdagen]]</f>
        <v>0</v>
      </c>
      <c r="AG656" s="87">
        <f>Ruimtestaat[[#This Row],[kosten / jaar weekend]]+Ruimtestaat[[#This Row],[kosten / jaar werkdagen]]</f>
        <v>0</v>
      </c>
    </row>
    <row r="657" spans="1:33" ht="15" customHeight="1">
      <c r="A657" s="187">
        <v>5</v>
      </c>
      <c r="B657" s="21" t="str">
        <f>VLOOKUP(Ruimtestaat[[#This Row],[Code]],Locaties[#All],2,FALSE)</f>
        <v>Potskamp</v>
      </c>
      <c r="C657" s="231" t="str">
        <f>VLOOKUP(Ruimtestaat[[#This Row],[Code]],Locaties[#All],4,FALSE)</f>
        <v>Potskampstraat 2</v>
      </c>
      <c r="D657" s="231" t="str">
        <f>VLOOKUP(Ruimtestaat[[#This Row],[Code]],Locaties[#All],5,FALSE)</f>
        <v>7573 CC</v>
      </c>
      <c r="E657" s="187" t="str">
        <f>VLOOKUP(Ruimtestaat[[#This Row],[Code]],Locaties[#All],6,FALSE)</f>
        <v>Oldenzaal</v>
      </c>
      <c r="F657" s="232"/>
      <c r="G657" s="187" t="s">
        <v>679</v>
      </c>
      <c r="H657" s="187">
        <v>3</v>
      </c>
      <c r="I657" s="232" t="s">
        <v>437</v>
      </c>
      <c r="J657" s="187">
        <v>19</v>
      </c>
      <c r="K657" s="187" t="str">
        <f>VLOOKUP(Ruimtestaat[[#This Row],[Ruimte code]],Ruimtegroepen[#All],2,FALSE)</f>
        <v>Kleedruimtes</v>
      </c>
      <c r="L657" s="202" t="s">
        <v>108</v>
      </c>
      <c r="M657" s="187" t="s">
        <v>1201</v>
      </c>
      <c r="N657" s="200">
        <v>19</v>
      </c>
      <c r="O657" s="200"/>
      <c r="P657" s="231" t="str">
        <f>VLOOKUP(Ruimtestaat[[#This Row],[Ruimte code]],Ruimtegroepen[#All],4,FALSE)</f>
        <v>V  (Verkeersruimte)</v>
      </c>
      <c r="Q657" s="201"/>
      <c r="R657" s="202">
        <v>42</v>
      </c>
      <c r="S657" s="202" t="s">
        <v>2</v>
      </c>
      <c r="T657" s="202">
        <f>IF(R657&gt;0,IF(RIGHT(Ruimtestaat[[#This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57" s="202">
        <f>IF(T657&gt;0,VLOOKUP($J657,Ruimtegroepen[],3,FALSE)*VLOOKUP($L657,Vloersoorten[],3,FALSE)*VLOOKUP($S657,Frequenties[],3,FALSE)*VLOOKUP($A657,Locaties[],3,FALSE),0)</f>
        <v>0</v>
      </c>
      <c r="V657" s="202">
        <f>Ruimtestaat[[#This Row],[Uitvoeringen werkdagen]]*Ruimtestaat[[#This Row],[Oppervlak (netto)]]</f>
        <v>3990</v>
      </c>
      <c r="W657" s="242">
        <f>IF(U657&gt;0,Ruimtestaat[[#This Row],[Prest. (m2 /jaar) werkdagen]]/Ruimtestaat[[#This Row],[Norm (m2/uur) werkdagen]],0)</f>
        <v>0</v>
      </c>
      <c r="X657" s="243">
        <f>Ruimtestaat[[#This Row],[uren / jaar werkdagen]]*Tariefsopbouw!$D$38</f>
        <v>0</v>
      </c>
      <c r="Y657" s="33"/>
      <c r="Z657" s="33">
        <f>IF(Ruimtestaat[[#This Row],[Frequentie weekend]]&gt;0,VALUE(LEFT(Y657,1))*R657,0)</f>
        <v>0</v>
      </c>
      <c r="AA657" s="33">
        <f>IF($Z657&gt;0,VLOOKUP($J657,Ruimtegroepen[],3,FALSE)*VLOOKUP($L657,Vloersoorten[],3,FALSE)*VLOOKUP($Y657,Frequenties[],3,FALSE)*VLOOKUP(#REF!,Locaties[],3,FALSE),0)</f>
        <v>0</v>
      </c>
      <c r="AB657" s="33"/>
      <c r="AC657" s="33"/>
      <c r="AD657" s="33">
        <f>Ruimtestaat[[#This Row],[uren / jaar weekend]]*Tariefsopbouw!$D$40</f>
        <v>0</v>
      </c>
      <c r="AE657" s="86">
        <f>Ruimtestaat[[#This Row],[Prest. (m2 /jaar) weekend]]+Ruimtestaat[[#This Row],[Prest. (m2 /jaar) werkdagen]]</f>
        <v>3990</v>
      </c>
      <c r="AF657" s="86">
        <f>Ruimtestaat[[#This Row],[uren / jaar weekend]]+Ruimtestaat[[#This Row],[uren / jaar werkdagen]]</f>
        <v>0</v>
      </c>
      <c r="AG657" s="87">
        <f>Ruimtestaat[[#This Row],[kosten / jaar weekend]]+Ruimtestaat[[#This Row],[kosten / jaar werkdagen]]</f>
        <v>0</v>
      </c>
    </row>
    <row r="658" spans="1:33" ht="15" customHeight="1">
      <c r="A658" s="187">
        <v>5</v>
      </c>
      <c r="B658" s="21" t="str">
        <f>VLOOKUP(Ruimtestaat[[#This Row],[Code]],Locaties[#All],2,FALSE)</f>
        <v>Potskamp</v>
      </c>
      <c r="C658" s="231" t="str">
        <f>VLOOKUP(Ruimtestaat[[#This Row],[Code]],Locaties[#All],4,FALSE)</f>
        <v>Potskampstraat 2</v>
      </c>
      <c r="D658" s="231" t="str">
        <f>VLOOKUP(Ruimtestaat[[#This Row],[Code]],Locaties[#All],5,FALSE)</f>
        <v>7573 CC</v>
      </c>
      <c r="E658" s="187" t="str">
        <f>VLOOKUP(Ruimtestaat[[#This Row],[Code]],Locaties[#All],6,FALSE)</f>
        <v>Oldenzaal</v>
      </c>
      <c r="F658" s="232"/>
      <c r="G658" s="187" t="s">
        <v>679</v>
      </c>
      <c r="H658" s="187" t="s">
        <v>785</v>
      </c>
      <c r="I658" s="232" t="s">
        <v>767</v>
      </c>
      <c r="J658" s="187">
        <v>19</v>
      </c>
      <c r="K658" s="187" t="str">
        <f>VLOOKUP(Ruimtestaat[[#This Row],[Ruimte code]],Ruimtegroepen[#All],2,FALSE)</f>
        <v>Kleedruimtes</v>
      </c>
      <c r="L658" s="202" t="s">
        <v>108</v>
      </c>
      <c r="M658" s="187" t="s">
        <v>1201</v>
      </c>
      <c r="N658" s="200">
        <v>5</v>
      </c>
      <c r="O658" s="200"/>
      <c r="P658" s="231" t="str">
        <f>VLOOKUP(Ruimtestaat[[#This Row],[Ruimte code]],Ruimtegroepen[#All],4,FALSE)</f>
        <v>V  (Verkeersruimte)</v>
      </c>
      <c r="Q658" s="201"/>
      <c r="R658" s="202">
        <v>42</v>
      </c>
      <c r="S658" s="202" t="s">
        <v>2</v>
      </c>
      <c r="T658" s="202">
        <f>IF(R658&gt;0,IF(RIGHT(Ruimtestaat[[#This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58" s="202">
        <f>IF(T658&gt;0,VLOOKUP($J658,Ruimtegroepen[],3,FALSE)*VLOOKUP($L658,Vloersoorten[],3,FALSE)*VLOOKUP($S658,Frequenties[],3,FALSE)*VLOOKUP($A658,Locaties[],3,FALSE),0)</f>
        <v>0</v>
      </c>
      <c r="V658" s="202">
        <f>Ruimtestaat[[#This Row],[Uitvoeringen werkdagen]]*Ruimtestaat[[#This Row],[Oppervlak (netto)]]</f>
        <v>1050</v>
      </c>
      <c r="W658" s="242">
        <f>IF(U658&gt;0,Ruimtestaat[[#This Row],[Prest. (m2 /jaar) werkdagen]]/Ruimtestaat[[#This Row],[Norm (m2/uur) werkdagen]],0)</f>
        <v>0</v>
      </c>
      <c r="X658" s="243">
        <f>Ruimtestaat[[#This Row],[uren / jaar werkdagen]]*Tariefsopbouw!$D$38</f>
        <v>0</v>
      </c>
      <c r="Y658" s="33"/>
      <c r="Z658" s="33">
        <f>IF(Ruimtestaat[[#This Row],[Frequentie weekend]]&gt;0,VALUE(LEFT(Y658,1))*R658,0)</f>
        <v>0</v>
      </c>
      <c r="AA658" s="33">
        <f>IF($Z658&gt;0,VLOOKUP($J658,Ruimtegroepen[],3,FALSE)*VLOOKUP($L658,Vloersoorten[],3,FALSE)*VLOOKUP($Y658,Frequenties[],3,FALSE)*VLOOKUP(#REF!,Locaties[],3,FALSE),0)</f>
        <v>0</v>
      </c>
      <c r="AB658" s="33"/>
      <c r="AC658" s="33"/>
      <c r="AD658" s="33">
        <f>Ruimtestaat[[#This Row],[uren / jaar weekend]]*Tariefsopbouw!$D$40</f>
        <v>0</v>
      </c>
      <c r="AE658" s="86">
        <f>Ruimtestaat[[#This Row],[Prest. (m2 /jaar) weekend]]+Ruimtestaat[[#This Row],[Prest. (m2 /jaar) werkdagen]]</f>
        <v>1050</v>
      </c>
      <c r="AF658" s="86">
        <f>Ruimtestaat[[#This Row],[uren / jaar weekend]]+Ruimtestaat[[#This Row],[uren / jaar werkdagen]]</f>
        <v>0</v>
      </c>
      <c r="AG658" s="87">
        <f>Ruimtestaat[[#This Row],[kosten / jaar weekend]]+Ruimtestaat[[#This Row],[kosten / jaar werkdagen]]</f>
        <v>0</v>
      </c>
    </row>
    <row r="659" spans="1:33" ht="15" customHeight="1">
      <c r="A659" s="187">
        <v>5</v>
      </c>
      <c r="B659" s="21" t="str">
        <f>VLOOKUP(Ruimtestaat[[#This Row],[Code]],Locaties[#All],2,FALSE)</f>
        <v>Potskamp</v>
      </c>
      <c r="C659" s="231" t="str">
        <f>VLOOKUP(Ruimtestaat[[#This Row],[Code]],Locaties[#All],4,FALSE)</f>
        <v>Potskampstraat 2</v>
      </c>
      <c r="D659" s="231" t="str">
        <f>VLOOKUP(Ruimtestaat[[#This Row],[Code]],Locaties[#All],5,FALSE)</f>
        <v>7573 CC</v>
      </c>
      <c r="E659" s="187" t="str">
        <f>VLOOKUP(Ruimtestaat[[#This Row],[Code]],Locaties[#All],6,FALSE)</f>
        <v>Oldenzaal</v>
      </c>
      <c r="F659" s="232"/>
      <c r="G659" s="187" t="s">
        <v>679</v>
      </c>
      <c r="H659" s="187" t="s">
        <v>786</v>
      </c>
      <c r="I659" s="232" t="s">
        <v>767</v>
      </c>
      <c r="J659" s="187">
        <v>19</v>
      </c>
      <c r="K659" s="187" t="str">
        <f>VLOOKUP(Ruimtestaat[[#This Row],[Ruimte code]],Ruimtegroepen[#All],2,FALSE)</f>
        <v>Kleedruimtes</v>
      </c>
      <c r="L659" s="202" t="s">
        <v>108</v>
      </c>
      <c r="M659" s="187" t="s">
        <v>1201</v>
      </c>
      <c r="N659" s="200">
        <v>5</v>
      </c>
      <c r="O659" s="200"/>
      <c r="P659" s="231" t="str">
        <f>VLOOKUP(Ruimtestaat[[#This Row],[Ruimte code]],Ruimtegroepen[#All],4,FALSE)</f>
        <v>V  (Verkeersruimte)</v>
      </c>
      <c r="Q659" s="201"/>
      <c r="R659" s="202">
        <v>42</v>
      </c>
      <c r="S659" s="202" t="s">
        <v>2</v>
      </c>
      <c r="T659" s="202">
        <f>IF(R659&gt;0,IF(RIGHT(Ruimtestaat[[#This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59" s="202">
        <f>IF(T659&gt;0,VLOOKUP($J659,Ruimtegroepen[],3,FALSE)*VLOOKUP($L659,Vloersoorten[],3,FALSE)*VLOOKUP($S659,Frequenties[],3,FALSE)*VLOOKUP($A659,Locaties[],3,FALSE),0)</f>
        <v>0</v>
      </c>
      <c r="V659" s="202">
        <f>Ruimtestaat[[#This Row],[Uitvoeringen werkdagen]]*Ruimtestaat[[#This Row],[Oppervlak (netto)]]</f>
        <v>1050</v>
      </c>
      <c r="W659" s="242">
        <f>IF(U659&gt;0,Ruimtestaat[[#This Row],[Prest. (m2 /jaar) werkdagen]]/Ruimtestaat[[#This Row],[Norm (m2/uur) werkdagen]],0)</f>
        <v>0</v>
      </c>
      <c r="X659" s="243">
        <f>Ruimtestaat[[#This Row],[uren / jaar werkdagen]]*Tariefsopbouw!$D$38</f>
        <v>0</v>
      </c>
      <c r="Y659" s="33"/>
      <c r="Z659" s="33">
        <f>IF(Ruimtestaat[[#This Row],[Frequentie weekend]]&gt;0,VALUE(LEFT(Y659,1))*R659,0)</f>
        <v>0</v>
      </c>
      <c r="AA659" s="33">
        <f>IF($Z659&gt;0,VLOOKUP($J659,Ruimtegroepen[],3,FALSE)*VLOOKUP($L659,Vloersoorten[],3,FALSE)*VLOOKUP($Y659,Frequenties[],3,FALSE)*VLOOKUP(#REF!,Locaties[],3,FALSE),0)</f>
        <v>0</v>
      </c>
      <c r="AB659" s="33"/>
      <c r="AC659" s="33"/>
      <c r="AD659" s="33">
        <f>Ruimtestaat[[#This Row],[uren / jaar weekend]]*Tariefsopbouw!$D$40</f>
        <v>0</v>
      </c>
      <c r="AE659" s="86">
        <f>Ruimtestaat[[#This Row],[Prest. (m2 /jaar) weekend]]+Ruimtestaat[[#This Row],[Prest. (m2 /jaar) werkdagen]]</f>
        <v>1050</v>
      </c>
      <c r="AF659" s="86">
        <f>Ruimtestaat[[#This Row],[uren / jaar weekend]]+Ruimtestaat[[#This Row],[uren / jaar werkdagen]]</f>
        <v>0</v>
      </c>
      <c r="AG659" s="87">
        <f>Ruimtestaat[[#This Row],[kosten / jaar weekend]]+Ruimtestaat[[#This Row],[kosten / jaar werkdagen]]</f>
        <v>0</v>
      </c>
    </row>
    <row r="660" spans="1:33" ht="15" customHeight="1">
      <c r="A660" s="187">
        <v>5</v>
      </c>
      <c r="B660" s="21" t="str">
        <f>VLOOKUP(Ruimtestaat[[#This Row],[Code]],Locaties[#All],2,FALSE)</f>
        <v>Potskamp</v>
      </c>
      <c r="C660" s="231" t="str">
        <f>VLOOKUP(Ruimtestaat[[#This Row],[Code]],Locaties[#All],4,FALSE)</f>
        <v>Potskampstraat 2</v>
      </c>
      <c r="D660" s="231" t="str">
        <f>VLOOKUP(Ruimtestaat[[#This Row],[Code]],Locaties[#All],5,FALSE)</f>
        <v>7573 CC</v>
      </c>
      <c r="E660" s="187" t="str">
        <f>VLOOKUP(Ruimtestaat[[#This Row],[Code]],Locaties[#All],6,FALSE)</f>
        <v>Oldenzaal</v>
      </c>
      <c r="F660" s="232"/>
      <c r="G660" s="187" t="s">
        <v>679</v>
      </c>
      <c r="H660" s="187" t="s">
        <v>784</v>
      </c>
      <c r="I660" s="232" t="s">
        <v>767</v>
      </c>
      <c r="J660" s="187">
        <v>19</v>
      </c>
      <c r="K660" s="187" t="str">
        <f>VLOOKUP(Ruimtestaat[[#This Row],[Ruimte code]],Ruimtegroepen[#All],2,FALSE)</f>
        <v>Kleedruimtes</v>
      </c>
      <c r="L660" s="202" t="s">
        <v>108</v>
      </c>
      <c r="M660" s="187" t="s">
        <v>1201</v>
      </c>
      <c r="N660" s="200">
        <v>10</v>
      </c>
      <c r="O660" s="200"/>
      <c r="P660" s="231" t="str">
        <f>VLOOKUP(Ruimtestaat[[#This Row],[Ruimte code]],Ruimtegroepen[#All],4,FALSE)</f>
        <v>V  (Verkeersruimte)</v>
      </c>
      <c r="Q660" s="201"/>
      <c r="R660" s="202">
        <v>42</v>
      </c>
      <c r="S660" s="202" t="s">
        <v>2</v>
      </c>
      <c r="T660" s="202">
        <f>IF(R660&gt;0,IF(RIGHT(Ruimtestaat[[#This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60" s="202">
        <f>IF(T660&gt;0,VLOOKUP($J660,Ruimtegroepen[],3,FALSE)*VLOOKUP($L660,Vloersoorten[],3,FALSE)*VLOOKUP($S660,Frequenties[],3,FALSE)*VLOOKUP($A660,Locaties[],3,FALSE),0)</f>
        <v>0</v>
      </c>
      <c r="V660" s="202">
        <f>Ruimtestaat[[#This Row],[Uitvoeringen werkdagen]]*Ruimtestaat[[#This Row],[Oppervlak (netto)]]</f>
        <v>2100</v>
      </c>
      <c r="W660" s="242">
        <f>IF(U660&gt;0,Ruimtestaat[[#This Row],[Prest. (m2 /jaar) werkdagen]]/Ruimtestaat[[#This Row],[Norm (m2/uur) werkdagen]],0)</f>
        <v>0</v>
      </c>
      <c r="X660" s="243">
        <f>Ruimtestaat[[#This Row],[uren / jaar werkdagen]]*Tariefsopbouw!$D$38</f>
        <v>0</v>
      </c>
      <c r="Y660" s="33"/>
      <c r="Z660" s="33">
        <f>IF(Ruimtestaat[[#This Row],[Frequentie weekend]]&gt;0,VALUE(LEFT(Y660,1))*R660,0)</f>
        <v>0</v>
      </c>
      <c r="AA660" s="33">
        <f>IF($Z660&gt;0,VLOOKUP($J660,Ruimtegroepen[],3,FALSE)*VLOOKUP($L660,Vloersoorten[],3,FALSE)*VLOOKUP($Y660,Frequenties[],3,FALSE)*VLOOKUP(#REF!,Locaties[],3,FALSE),0)</f>
        <v>0</v>
      </c>
      <c r="AB660" s="33"/>
      <c r="AC660" s="33"/>
      <c r="AD660" s="33">
        <f>Ruimtestaat[[#This Row],[uren / jaar weekend]]*Tariefsopbouw!$D$40</f>
        <v>0</v>
      </c>
      <c r="AE660" s="86">
        <f>Ruimtestaat[[#This Row],[Prest. (m2 /jaar) weekend]]+Ruimtestaat[[#This Row],[Prest. (m2 /jaar) werkdagen]]</f>
        <v>2100</v>
      </c>
      <c r="AF660" s="86">
        <f>Ruimtestaat[[#This Row],[uren / jaar weekend]]+Ruimtestaat[[#This Row],[uren / jaar werkdagen]]</f>
        <v>0</v>
      </c>
      <c r="AG660" s="87">
        <f>Ruimtestaat[[#This Row],[kosten / jaar weekend]]+Ruimtestaat[[#This Row],[kosten / jaar werkdagen]]</f>
        <v>0</v>
      </c>
    </row>
    <row r="661" spans="1:33" ht="15" customHeight="1">
      <c r="A661" s="187">
        <v>5</v>
      </c>
      <c r="B661" s="21" t="str">
        <f>VLOOKUP(Ruimtestaat[[#This Row],[Code]],Locaties[#All],2,FALSE)</f>
        <v>Potskamp</v>
      </c>
      <c r="C661" s="231" t="str">
        <f>VLOOKUP(Ruimtestaat[[#This Row],[Code]],Locaties[#All],4,FALSE)</f>
        <v>Potskampstraat 2</v>
      </c>
      <c r="D661" s="231" t="str">
        <f>VLOOKUP(Ruimtestaat[[#This Row],[Code]],Locaties[#All],5,FALSE)</f>
        <v>7573 CC</v>
      </c>
      <c r="E661" s="187" t="str">
        <f>VLOOKUP(Ruimtestaat[[#This Row],[Code]],Locaties[#All],6,FALSE)</f>
        <v>Oldenzaal</v>
      </c>
      <c r="F661" s="232"/>
      <c r="G661" s="187" t="s">
        <v>679</v>
      </c>
      <c r="H661" s="187">
        <v>4</v>
      </c>
      <c r="I661" s="232" t="s">
        <v>437</v>
      </c>
      <c r="J661" s="187">
        <v>19</v>
      </c>
      <c r="K661" s="187" t="str">
        <f>VLOOKUP(Ruimtestaat[[#This Row],[Ruimte code]],Ruimtegroepen[#All],2,FALSE)</f>
        <v>Kleedruimtes</v>
      </c>
      <c r="L661" s="202" t="s">
        <v>108</v>
      </c>
      <c r="M661" s="187" t="s">
        <v>1201</v>
      </c>
      <c r="N661" s="200">
        <v>17</v>
      </c>
      <c r="O661" s="200"/>
      <c r="P661" s="231" t="str">
        <f>VLOOKUP(Ruimtestaat[[#This Row],[Ruimte code]],Ruimtegroepen[#All],4,FALSE)</f>
        <v>V  (Verkeersruimte)</v>
      </c>
      <c r="Q661" s="201"/>
      <c r="R661" s="202">
        <v>42</v>
      </c>
      <c r="S661" s="202" t="s">
        <v>2</v>
      </c>
      <c r="T661" s="202">
        <f>IF(R661&gt;0,IF(RIGHT(Ruimtestaat[[#This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61" s="202">
        <f>IF(T661&gt;0,VLOOKUP($J661,Ruimtegroepen[],3,FALSE)*VLOOKUP($L661,Vloersoorten[],3,FALSE)*VLOOKUP($S661,Frequenties[],3,FALSE)*VLOOKUP($A661,Locaties[],3,FALSE),0)</f>
        <v>0</v>
      </c>
      <c r="V661" s="202">
        <f>Ruimtestaat[[#This Row],[Uitvoeringen werkdagen]]*Ruimtestaat[[#This Row],[Oppervlak (netto)]]</f>
        <v>3570</v>
      </c>
      <c r="W661" s="242">
        <f>IF(U661&gt;0,Ruimtestaat[[#This Row],[Prest. (m2 /jaar) werkdagen]]/Ruimtestaat[[#This Row],[Norm (m2/uur) werkdagen]],0)</f>
        <v>0</v>
      </c>
      <c r="X661" s="243">
        <f>Ruimtestaat[[#This Row],[uren / jaar werkdagen]]*Tariefsopbouw!$D$38</f>
        <v>0</v>
      </c>
      <c r="Y661" s="33"/>
      <c r="Z661" s="33">
        <f>IF(Ruimtestaat[[#This Row],[Frequentie weekend]]&gt;0,VALUE(LEFT(Y661,1))*R661,0)</f>
        <v>0</v>
      </c>
      <c r="AA661" s="33">
        <f>IF($Z661&gt;0,VLOOKUP($J661,Ruimtegroepen[],3,FALSE)*VLOOKUP($L661,Vloersoorten[],3,FALSE)*VLOOKUP($Y661,Frequenties[],3,FALSE)*VLOOKUP(#REF!,Locaties[],3,FALSE),0)</f>
        <v>0</v>
      </c>
      <c r="AB661" s="33"/>
      <c r="AC661" s="33"/>
      <c r="AD661" s="33">
        <f>Ruimtestaat[[#This Row],[uren / jaar weekend]]*Tariefsopbouw!$D$40</f>
        <v>0</v>
      </c>
      <c r="AE661" s="86">
        <f>Ruimtestaat[[#This Row],[Prest. (m2 /jaar) weekend]]+Ruimtestaat[[#This Row],[Prest. (m2 /jaar) werkdagen]]</f>
        <v>3570</v>
      </c>
      <c r="AF661" s="86">
        <f>Ruimtestaat[[#This Row],[uren / jaar weekend]]+Ruimtestaat[[#This Row],[uren / jaar werkdagen]]</f>
        <v>0</v>
      </c>
      <c r="AG661" s="87">
        <f>Ruimtestaat[[#This Row],[kosten / jaar weekend]]+Ruimtestaat[[#This Row],[kosten / jaar werkdagen]]</f>
        <v>0</v>
      </c>
    </row>
    <row r="662" spans="1:33" ht="15" customHeight="1">
      <c r="A662" s="187">
        <v>5</v>
      </c>
      <c r="B662" s="21" t="str">
        <f>VLOOKUP(Ruimtestaat[[#This Row],[Code]],Locaties[#All],2,FALSE)</f>
        <v>Potskamp</v>
      </c>
      <c r="C662" s="231" t="str">
        <f>VLOOKUP(Ruimtestaat[[#This Row],[Code]],Locaties[#All],4,FALSE)</f>
        <v>Potskampstraat 2</v>
      </c>
      <c r="D662" s="231" t="str">
        <f>VLOOKUP(Ruimtestaat[[#This Row],[Code]],Locaties[#All],5,FALSE)</f>
        <v>7573 CC</v>
      </c>
      <c r="E662" s="187" t="str">
        <f>VLOOKUP(Ruimtestaat[[#This Row],[Code]],Locaties[#All],6,FALSE)</f>
        <v>Oldenzaal</v>
      </c>
      <c r="F662" s="232"/>
      <c r="G662" s="187" t="s">
        <v>679</v>
      </c>
      <c r="H662" s="187">
        <v>5</v>
      </c>
      <c r="I662" s="232" t="s">
        <v>437</v>
      </c>
      <c r="J662" s="231">
        <v>19</v>
      </c>
      <c r="K662" s="231" t="str">
        <f>VLOOKUP(Ruimtestaat[[#This Row],[Ruimte code]],Ruimtegroepen[#All],2,FALSE)</f>
        <v>Kleedruimtes</v>
      </c>
      <c r="L662" s="202" t="s">
        <v>108</v>
      </c>
      <c r="M662" s="187" t="s">
        <v>1201</v>
      </c>
      <c r="N662" s="200">
        <v>31</v>
      </c>
      <c r="O662" s="200"/>
      <c r="P662" s="231" t="str">
        <f>VLOOKUP(Ruimtestaat[[#This Row],[Ruimte code]],Ruimtegroepen[#All],4,FALSE)</f>
        <v>V  (Verkeersruimte)</v>
      </c>
      <c r="Q662" s="201"/>
      <c r="R662" s="202">
        <v>42</v>
      </c>
      <c r="S662" s="202" t="s">
        <v>2</v>
      </c>
      <c r="T662" s="202">
        <f>IF(R662&gt;0,IF(RIGHT(Ruimtestaat[[#This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62" s="202">
        <f>IF(T662&gt;0,VLOOKUP($J662,Ruimtegroepen[],3,FALSE)*VLOOKUP($L662,Vloersoorten[],3,FALSE)*VLOOKUP($S662,Frequenties[],3,FALSE)*VLOOKUP($A662,Locaties[],3,FALSE),0)</f>
        <v>0</v>
      </c>
      <c r="V662" s="202">
        <f>Ruimtestaat[[#This Row],[Uitvoeringen werkdagen]]*Ruimtestaat[[#This Row],[Oppervlak (netto)]]</f>
        <v>6510</v>
      </c>
      <c r="W662" s="242">
        <f>IF(U662&gt;0,Ruimtestaat[[#This Row],[Prest. (m2 /jaar) werkdagen]]/Ruimtestaat[[#This Row],[Norm (m2/uur) werkdagen]],0)</f>
        <v>0</v>
      </c>
      <c r="X662" s="243">
        <f>Ruimtestaat[[#This Row],[uren / jaar werkdagen]]*Tariefsopbouw!$D$38</f>
        <v>0</v>
      </c>
      <c r="Y662" s="33"/>
      <c r="Z662" s="33">
        <f>IF(Ruimtestaat[[#This Row],[Frequentie weekend]]&gt;0,VALUE(LEFT(Y662,1))*R662,0)</f>
        <v>0</v>
      </c>
      <c r="AA662" s="33">
        <f>IF($Z662&gt;0,VLOOKUP($J662,Ruimtegroepen[],3,FALSE)*VLOOKUP($L662,Vloersoorten[],3,FALSE)*VLOOKUP($Y662,Frequenties[],3,FALSE)*VLOOKUP(#REF!,Locaties[],3,FALSE),0)</f>
        <v>0</v>
      </c>
      <c r="AB662" s="33"/>
      <c r="AC662" s="33"/>
      <c r="AD662" s="33">
        <f>Ruimtestaat[[#This Row],[uren / jaar weekend]]*Tariefsopbouw!$D$40</f>
        <v>0</v>
      </c>
      <c r="AE662" s="86">
        <f>Ruimtestaat[[#This Row],[Prest. (m2 /jaar) weekend]]+Ruimtestaat[[#This Row],[Prest. (m2 /jaar) werkdagen]]</f>
        <v>6510</v>
      </c>
      <c r="AF662" s="86">
        <f>Ruimtestaat[[#This Row],[uren / jaar weekend]]+Ruimtestaat[[#This Row],[uren / jaar werkdagen]]</f>
        <v>0</v>
      </c>
      <c r="AG662" s="87">
        <f>Ruimtestaat[[#This Row],[kosten / jaar weekend]]+Ruimtestaat[[#This Row],[kosten / jaar werkdagen]]</f>
        <v>0</v>
      </c>
    </row>
    <row r="663" spans="1:33" ht="15" customHeight="1">
      <c r="A663" s="187">
        <v>5</v>
      </c>
      <c r="B663" s="21" t="str">
        <f>VLOOKUP(Ruimtestaat[[#This Row],[Code]],Locaties[#All],2,FALSE)</f>
        <v>Potskamp</v>
      </c>
      <c r="C663" s="231" t="str">
        <f>VLOOKUP(Ruimtestaat[[#This Row],[Code]],Locaties[#All],4,FALSE)</f>
        <v>Potskampstraat 2</v>
      </c>
      <c r="D663" s="231" t="str">
        <f>VLOOKUP(Ruimtestaat[[#This Row],[Code]],Locaties[#All],5,FALSE)</f>
        <v>7573 CC</v>
      </c>
      <c r="E663" s="187" t="str">
        <f>VLOOKUP(Ruimtestaat[[#This Row],[Code]],Locaties[#All],6,FALSE)</f>
        <v>Oldenzaal</v>
      </c>
      <c r="F663" s="232"/>
      <c r="G663" s="187" t="s">
        <v>679</v>
      </c>
      <c r="H663" s="187"/>
      <c r="I663" s="232" t="s">
        <v>698</v>
      </c>
      <c r="J663" s="187">
        <v>5</v>
      </c>
      <c r="K663" s="187" t="str">
        <f>VLOOKUP(Ruimtestaat[[#This Row],[Ruimte code]],Ruimtegroepen[#All],2,FALSE)</f>
        <v>Sanitair</v>
      </c>
      <c r="L663" s="202" t="s">
        <v>108</v>
      </c>
      <c r="M663" s="187" t="s">
        <v>1201</v>
      </c>
      <c r="N663" s="200">
        <v>7.5</v>
      </c>
      <c r="O663" s="200"/>
      <c r="P663" s="231" t="str">
        <f>VLOOKUP(Ruimtestaat[[#This Row],[Ruimte code]],Ruimtegroepen[#All],4,FALSE)</f>
        <v>S  (Sanitair)</v>
      </c>
      <c r="Q663" s="201"/>
      <c r="R663" s="202">
        <v>42</v>
      </c>
      <c r="S663" s="202" t="s">
        <v>19</v>
      </c>
      <c r="T663" s="202">
        <f>IF(R663&gt;0,IF(RIGHT(Ruimtestaat[[#This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663" s="202">
        <f>IF(T663&gt;0,VLOOKUP($J663,Ruimtegroepen[],3,FALSE)*VLOOKUP($L663,Vloersoorten[],3,FALSE)*VLOOKUP($S663,Frequenties[],3,FALSE)*VLOOKUP($A663,Locaties[],3,FALSE),0)</f>
        <v>0</v>
      </c>
      <c r="V663" s="202">
        <f>Ruimtestaat[[#This Row],[Uitvoeringen werkdagen]]*Ruimtestaat[[#This Row],[Oppervlak (netto)]]</f>
        <v>3150</v>
      </c>
      <c r="W663" s="242">
        <f>IF(U663&gt;0,Ruimtestaat[[#This Row],[Prest. (m2 /jaar) werkdagen]]/Ruimtestaat[[#This Row],[Norm (m2/uur) werkdagen]],0)</f>
        <v>0</v>
      </c>
      <c r="X663" s="243">
        <f>Ruimtestaat[[#This Row],[uren / jaar werkdagen]]*Tariefsopbouw!$D$38</f>
        <v>0</v>
      </c>
      <c r="Y663" s="33"/>
      <c r="Z663" s="33">
        <f>IF(Ruimtestaat[[#This Row],[Frequentie weekend]]&gt;0,VALUE(LEFT(Y663,1))*R663,0)</f>
        <v>0</v>
      </c>
      <c r="AA663" s="33">
        <f>IF($Z663&gt;0,VLOOKUP($J663,Ruimtegroepen[],3,FALSE)*VLOOKUP($L663,Vloersoorten[],3,FALSE)*VLOOKUP($Y663,Frequenties[],3,FALSE)*VLOOKUP(#REF!,Locaties[],3,FALSE),0)</f>
        <v>0</v>
      </c>
      <c r="AB663" s="33"/>
      <c r="AC663" s="33"/>
      <c r="AD663" s="33">
        <f>Ruimtestaat[[#This Row],[uren / jaar weekend]]*Tariefsopbouw!$D$40</f>
        <v>0</v>
      </c>
      <c r="AE663" s="86">
        <f>Ruimtestaat[[#This Row],[Prest. (m2 /jaar) weekend]]+Ruimtestaat[[#This Row],[Prest. (m2 /jaar) werkdagen]]</f>
        <v>3150</v>
      </c>
      <c r="AF663" s="86">
        <f>Ruimtestaat[[#This Row],[uren / jaar weekend]]+Ruimtestaat[[#This Row],[uren / jaar werkdagen]]</f>
        <v>0</v>
      </c>
      <c r="AG663" s="87">
        <f>Ruimtestaat[[#This Row],[kosten / jaar weekend]]+Ruimtestaat[[#This Row],[kosten / jaar werkdagen]]</f>
        <v>0</v>
      </c>
    </row>
    <row r="664" spans="1:33" ht="15" customHeight="1">
      <c r="A664" s="187">
        <v>5</v>
      </c>
      <c r="B664" s="21" t="str">
        <f>VLOOKUP(Ruimtestaat[[#This Row],[Code]],Locaties[#All],2,FALSE)</f>
        <v>Potskamp</v>
      </c>
      <c r="C664" s="231" t="str">
        <f>VLOOKUP(Ruimtestaat[[#This Row],[Code]],Locaties[#All],4,FALSE)</f>
        <v>Potskampstraat 2</v>
      </c>
      <c r="D664" s="231" t="str">
        <f>VLOOKUP(Ruimtestaat[[#This Row],[Code]],Locaties[#All],5,FALSE)</f>
        <v>7573 CC</v>
      </c>
      <c r="E664" s="187" t="str">
        <f>VLOOKUP(Ruimtestaat[[#This Row],[Code]],Locaties[#All],6,FALSE)</f>
        <v>Oldenzaal</v>
      </c>
      <c r="F664" s="232"/>
      <c r="G664" s="187" t="s">
        <v>679</v>
      </c>
      <c r="H664" s="187"/>
      <c r="I664" s="232" t="s">
        <v>698</v>
      </c>
      <c r="J664" s="187">
        <v>5</v>
      </c>
      <c r="K664" s="187" t="str">
        <f>VLOOKUP(Ruimtestaat[[#This Row],[Ruimte code]],Ruimtegroepen[#All],2,FALSE)</f>
        <v>Sanitair</v>
      </c>
      <c r="L664" s="202" t="s">
        <v>108</v>
      </c>
      <c r="M664" s="187" t="s">
        <v>1201</v>
      </c>
      <c r="N664" s="200">
        <v>7.5</v>
      </c>
      <c r="O664" s="200"/>
      <c r="P664" s="231" t="str">
        <f>VLOOKUP(Ruimtestaat[[#This Row],[Ruimte code]],Ruimtegroepen[#All],4,FALSE)</f>
        <v>S  (Sanitair)</v>
      </c>
      <c r="Q664" s="201"/>
      <c r="R664" s="202">
        <v>42</v>
      </c>
      <c r="S664" s="202" t="s">
        <v>19</v>
      </c>
      <c r="T664" s="202">
        <f>IF(R664&gt;0,IF(RIGHT(Ruimtestaat[[#This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664" s="202">
        <f>IF(T664&gt;0,VLOOKUP($J664,Ruimtegroepen[],3,FALSE)*VLOOKUP($L664,Vloersoorten[],3,FALSE)*VLOOKUP($S664,Frequenties[],3,FALSE)*VLOOKUP($A664,Locaties[],3,FALSE),0)</f>
        <v>0</v>
      </c>
      <c r="V664" s="202">
        <f>Ruimtestaat[[#This Row],[Uitvoeringen werkdagen]]*Ruimtestaat[[#This Row],[Oppervlak (netto)]]</f>
        <v>3150</v>
      </c>
      <c r="W664" s="242">
        <f>IF(U664&gt;0,Ruimtestaat[[#This Row],[Prest. (m2 /jaar) werkdagen]]/Ruimtestaat[[#This Row],[Norm (m2/uur) werkdagen]],0)</f>
        <v>0</v>
      </c>
      <c r="X664" s="243">
        <f>Ruimtestaat[[#This Row],[uren / jaar werkdagen]]*Tariefsopbouw!$D$38</f>
        <v>0</v>
      </c>
      <c r="Y664" s="33"/>
      <c r="Z664" s="33">
        <f>IF(Ruimtestaat[[#This Row],[Frequentie weekend]]&gt;0,VALUE(LEFT(Y664,1))*R664,0)</f>
        <v>0</v>
      </c>
      <c r="AA664" s="33">
        <f>IF($Z664&gt;0,VLOOKUP($J664,Ruimtegroepen[],3,FALSE)*VLOOKUP($L664,Vloersoorten[],3,FALSE)*VLOOKUP($Y664,Frequenties[],3,FALSE)*VLOOKUP(#REF!,Locaties[],3,FALSE),0)</f>
        <v>0</v>
      </c>
      <c r="AB664" s="33"/>
      <c r="AC664" s="33"/>
      <c r="AD664" s="33">
        <f>Ruimtestaat[[#This Row],[uren / jaar weekend]]*Tariefsopbouw!$D$40</f>
        <v>0</v>
      </c>
      <c r="AE664" s="86">
        <f>Ruimtestaat[[#This Row],[Prest. (m2 /jaar) weekend]]+Ruimtestaat[[#This Row],[Prest. (m2 /jaar) werkdagen]]</f>
        <v>3150</v>
      </c>
      <c r="AF664" s="86">
        <f>Ruimtestaat[[#This Row],[uren / jaar weekend]]+Ruimtestaat[[#This Row],[uren / jaar werkdagen]]</f>
        <v>0</v>
      </c>
      <c r="AG664" s="87">
        <f>Ruimtestaat[[#This Row],[kosten / jaar weekend]]+Ruimtestaat[[#This Row],[kosten / jaar werkdagen]]</f>
        <v>0</v>
      </c>
    </row>
    <row r="665" spans="1:33" ht="15" customHeight="1">
      <c r="A665" s="187">
        <v>5</v>
      </c>
      <c r="B665" s="21" t="str">
        <f>VLOOKUP(Ruimtestaat[[#This Row],[Code]],Locaties[#All],2,FALSE)</f>
        <v>Potskamp</v>
      </c>
      <c r="C665" s="231" t="str">
        <f>VLOOKUP(Ruimtestaat[[#This Row],[Code]],Locaties[#All],4,FALSE)</f>
        <v>Potskampstraat 2</v>
      </c>
      <c r="D665" s="231" t="str">
        <f>VLOOKUP(Ruimtestaat[[#This Row],[Code]],Locaties[#All],5,FALSE)</f>
        <v>7573 CC</v>
      </c>
      <c r="E665" s="187" t="str">
        <f>VLOOKUP(Ruimtestaat[[#This Row],[Code]],Locaties[#All],6,FALSE)</f>
        <v>Oldenzaal</v>
      </c>
      <c r="F665" s="232"/>
      <c r="G665" s="187" t="s">
        <v>679</v>
      </c>
      <c r="H665" s="187"/>
      <c r="I665" s="232" t="s">
        <v>698</v>
      </c>
      <c r="J665" s="187">
        <v>5</v>
      </c>
      <c r="K665" s="187" t="str">
        <f>VLOOKUP(Ruimtestaat[[#This Row],[Ruimte code]],Ruimtegroepen[#All],2,FALSE)</f>
        <v>Sanitair</v>
      </c>
      <c r="L665" s="202" t="s">
        <v>108</v>
      </c>
      <c r="M665" s="187" t="s">
        <v>1201</v>
      </c>
      <c r="N665" s="200">
        <v>4</v>
      </c>
      <c r="O665" s="200"/>
      <c r="P665" s="231" t="str">
        <f>VLOOKUP(Ruimtestaat[[#This Row],[Ruimte code]],Ruimtegroepen[#All],4,FALSE)</f>
        <v>S  (Sanitair)</v>
      </c>
      <c r="Q665" s="201"/>
      <c r="R665" s="202">
        <v>42</v>
      </c>
      <c r="S665" s="202" t="s">
        <v>19</v>
      </c>
      <c r="T665" s="202">
        <f>IF(R665&gt;0,IF(RIGHT(Ruimtestaat[[#This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665" s="202">
        <f>IF(T665&gt;0,VLOOKUP($J665,Ruimtegroepen[],3,FALSE)*VLOOKUP($L665,Vloersoorten[],3,FALSE)*VLOOKUP($S665,Frequenties[],3,FALSE)*VLOOKUP($A665,Locaties[],3,FALSE),0)</f>
        <v>0</v>
      </c>
      <c r="V665" s="202">
        <f>Ruimtestaat[[#This Row],[Uitvoeringen werkdagen]]*Ruimtestaat[[#This Row],[Oppervlak (netto)]]</f>
        <v>1680</v>
      </c>
      <c r="W665" s="242">
        <f>IF(U665&gt;0,Ruimtestaat[[#This Row],[Prest. (m2 /jaar) werkdagen]]/Ruimtestaat[[#This Row],[Norm (m2/uur) werkdagen]],0)</f>
        <v>0</v>
      </c>
      <c r="X665" s="243">
        <f>Ruimtestaat[[#This Row],[uren / jaar werkdagen]]*Tariefsopbouw!$D$38</f>
        <v>0</v>
      </c>
      <c r="Y665" s="33"/>
      <c r="Z665" s="33">
        <f>IF(Ruimtestaat[[#This Row],[Frequentie weekend]]&gt;0,VALUE(LEFT(Y665,1))*R665,0)</f>
        <v>0</v>
      </c>
      <c r="AA665" s="33">
        <f>IF($Z665&gt;0,VLOOKUP($J665,Ruimtegroepen[],3,FALSE)*VLOOKUP($L665,Vloersoorten[],3,FALSE)*VLOOKUP($Y665,Frequenties[],3,FALSE)*VLOOKUP(#REF!,Locaties[],3,FALSE),0)</f>
        <v>0</v>
      </c>
      <c r="AB665" s="33"/>
      <c r="AC665" s="33"/>
      <c r="AD665" s="33">
        <f>Ruimtestaat[[#This Row],[uren / jaar weekend]]*Tariefsopbouw!$D$40</f>
        <v>0</v>
      </c>
      <c r="AE665" s="86">
        <f>Ruimtestaat[[#This Row],[Prest. (m2 /jaar) weekend]]+Ruimtestaat[[#This Row],[Prest. (m2 /jaar) werkdagen]]</f>
        <v>1680</v>
      </c>
      <c r="AF665" s="86">
        <f>Ruimtestaat[[#This Row],[uren / jaar weekend]]+Ruimtestaat[[#This Row],[uren / jaar werkdagen]]</f>
        <v>0</v>
      </c>
      <c r="AG665" s="87">
        <f>Ruimtestaat[[#This Row],[kosten / jaar weekend]]+Ruimtestaat[[#This Row],[kosten / jaar werkdagen]]</f>
        <v>0</v>
      </c>
    </row>
    <row r="666" spans="1:33" ht="15" customHeight="1">
      <c r="A666" s="187">
        <v>5</v>
      </c>
      <c r="B666" s="21" t="str">
        <f>VLOOKUP(Ruimtestaat[[#This Row],[Code]],Locaties[#All],2,FALSE)</f>
        <v>Potskamp</v>
      </c>
      <c r="C666" s="231" t="str">
        <f>VLOOKUP(Ruimtestaat[[#This Row],[Code]],Locaties[#All],4,FALSE)</f>
        <v>Potskampstraat 2</v>
      </c>
      <c r="D666" s="231" t="str">
        <f>VLOOKUP(Ruimtestaat[[#This Row],[Code]],Locaties[#All],5,FALSE)</f>
        <v>7573 CC</v>
      </c>
      <c r="E666" s="187" t="str">
        <f>VLOOKUP(Ruimtestaat[[#This Row],[Code]],Locaties[#All],6,FALSE)</f>
        <v>Oldenzaal</v>
      </c>
      <c r="F666" s="232"/>
      <c r="G666" s="187" t="s">
        <v>679</v>
      </c>
      <c r="H666" s="187"/>
      <c r="I666" s="232" t="s">
        <v>698</v>
      </c>
      <c r="J666" s="231">
        <v>5</v>
      </c>
      <c r="K666" s="231" t="str">
        <f>VLOOKUP(Ruimtestaat[[#This Row],[Ruimte code]],Ruimtegroepen[#All],2,FALSE)</f>
        <v>Sanitair</v>
      </c>
      <c r="L666" s="202" t="s">
        <v>108</v>
      </c>
      <c r="M666" s="187" t="s">
        <v>1201</v>
      </c>
      <c r="N666" s="200">
        <v>4</v>
      </c>
      <c r="O666" s="200"/>
      <c r="P666" s="231" t="str">
        <f>VLOOKUP(Ruimtestaat[[#This Row],[Ruimte code]],Ruimtegroepen[#All],4,FALSE)</f>
        <v>S  (Sanitair)</v>
      </c>
      <c r="Q666" s="201"/>
      <c r="R666" s="202">
        <v>42</v>
      </c>
      <c r="S666" s="202" t="s">
        <v>19</v>
      </c>
      <c r="T666" s="202">
        <f>IF(R666&gt;0,IF(RIGHT(Ruimtestaat[[#This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666" s="202">
        <f>IF(T666&gt;0,VLOOKUP($J666,Ruimtegroepen[],3,FALSE)*VLOOKUP($L666,Vloersoorten[],3,FALSE)*VLOOKUP($S666,Frequenties[],3,FALSE)*VLOOKUP($A666,Locaties[],3,FALSE),0)</f>
        <v>0</v>
      </c>
      <c r="V666" s="202">
        <f>Ruimtestaat[[#This Row],[Uitvoeringen werkdagen]]*Ruimtestaat[[#This Row],[Oppervlak (netto)]]</f>
        <v>1680</v>
      </c>
      <c r="W666" s="242">
        <f>IF(U666&gt;0,Ruimtestaat[[#This Row],[Prest. (m2 /jaar) werkdagen]]/Ruimtestaat[[#This Row],[Norm (m2/uur) werkdagen]],0)</f>
        <v>0</v>
      </c>
      <c r="X666" s="243">
        <f>Ruimtestaat[[#This Row],[uren / jaar werkdagen]]*Tariefsopbouw!$D$38</f>
        <v>0</v>
      </c>
      <c r="Y666" s="33"/>
      <c r="Z666" s="33">
        <f>IF(Ruimtestaat[[#This Row],[Frequentie weekend]]&gt;0,VALUE(LEFT(Y666,1))*R666,0)</f>
        <v>0</v>
      </c>
      <c r="AA666" s="33">
        <f>IF($Z666&gt;0,VLOOKUP($J666,Ruimtegroepen[],3,FALSE)*VLOOKUP($L666,Vloersoorten[],3,FALSE)*VLOOKUP($Y666,Frequenties[],3,FALSE)*VLOOKUP(#REF!,Locaties[],3,FALSE),0)</f>
        <v>0</v>
      </c>
      <c r="AB666" s="33"/>
      <c r="AC666" s="33"/>
      <c r="AD666" s="33">
        <f>Ruimtestaat[[#This Row],[uren / jaar weekend]]*Tariefsopbouw!$D$40</f>
        <v>0</v>
      </c>
      <c r="AE666" s="86">
        <f>Ruimtestaat[[#This Row],[Prest. (m2 /jaar) weekend]]+Ruimtestaat[[#This Row],[Prest. (m2 /jaar) werkdagen]]</f>
        <v>1680</v>
      </c>
      <c r="AF666" s="86">
        <f>Ruimtestaat[[#This Row],[uren / jaar weekend]]+Ruimtestaat[[#This Row],[uren / jaar werkdagen]]</f>
        <v>0</v>
      </c>
      <c r="AG666" s="87">
        <f>Ruimtestaat[[#This Row],[kosten / jaar weekend]]+Ruimtestaat[[#This Row],[kosten / jaar werkdagen]]</f>
        <v>0</v>
      </c>
    </row>
    <row r="667" spans="1:33" ht="15" customHeight="1">
      <c r="A667" s="187">
        <v>5</v>
      </c>
      <c r="B667" s="21" t="str">
        <f>VLOOKUP(Ruimtestaat[[#This Row],[Code]],Locaties[#All],2,FALSE)</f>
        <v>Potskamp</v>
      </c>
      <c r="C667" s="231" t="str">
        <f>VLOOKUP(Ruimtestaat[[#This Row],[Code]],Locaties[#All],4,FALSE)</f>
        <v>Potskampstraat 2</v>
      </c>
      <c r="D667" s="231" t="str">
        <f>VLOOKUP(Ruimtestaat[[#This Row],[Code]],Locaties[#All],5,FALSE)</f>
        <v>7573 CC</v>
      </c>
      <c r="E667" s="187" t="str">
        <f>VLOOKUP(Ruimtestaat[[#This Row],[Code]],Locaties[#All],6,FALSE)</f>
        <v>Oldenzaal</v>
      </c>
      <c r="F667" s="232"/>
      <c r="G667" s="187" t="s">
        <v>679</v>
      </c>
      <c r="H667" s="187" t="s">
        <v>787</v>
      </c>
      <c r="I667" s="232" t="s">
        <v>788</v>
      </c>
      <c r="J667" s="187">
        <v>12</v>
      </c>
      <c r="K667" s="187" t="str">
        <f>VLOOKUP(Ruimtestaat[[#This Row],[Ruimte code]],Ruimtegroepen[#All],2,FALSE)</f>
        <v>Kantine/aula</v>
      </c>
      <c r="L667" s="187" t="s">
        <v>109</v>
      </c>
      <c r="M667" s="187" t="s">
        <v>1203</v>
      </c>
      <c r="N667" s="200">
        <v>280.04000000000002</v>
      </c>
      <c r="O667" s="200"/>
      <c r="P667" s="231" t="str">
        <f>VLOOKUP(Ruimtestaat[[#This Row],[Ruimte code]],Ruimtegroepen[#All],4,FALSE)</f>
        <v>V  (Verkeersruimte)</v>
      </c>
      <c r="Q667" s="201"/>
      <c r="R667" s="202">
        <v>42</v>
      </c>
      <c r="S667" s="202" t="s">
        <v>2</v>
      </c>
      <c r="T667" s="202">
        <f>IF(R667&gt;0,IF(RIGHT(Ruimtestaat[[#This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67" s="202">
        <f>IF(T667&gt;0,VLOOKUP($J667,Ruimtegroepen[],3,FALSE)*VLOOKUP($L667,Vloersoorten[],3,FALSE)*VLOOKUP($S667,Frequenties[],3,FALSE)*VLOOKUP($A667,Locaties[],3,FALSE),0)</f>
        <v>0</v>
      </c>
      <c r="V667" s="202">
        <f>Ruimtestaat[[#This Row],[Uitvoeringen werkdagen]]*Ruimtestaat[[#This Row],[Oppervlak (netto)]]</f>
        <v>58808.4</v>
      </c>
      <c r="W667" s="242">
        <f>IF(U667&gt;0,Ruimtestaat[[#This Row],[Prest. (m2 /jaar) werkdagen]]/Ruimtestaat[[#This Row],[Norm (m2/uur) werkdagen]],0)</f>
        <v>0</v>
      </c>
      <c r="X667" s="243">
        <f>Ruimtestaat[[#This Row],[uren / jaar werkdagen]]*Tariefsopbouw!$D$38</f>
        <v>0</v>
      </c>
      <c r="Y667" s="33"/>
      <c r="Z667" s="33">
        <f>IF(Ruimtestaat[[#This Row],[Frequentie weekend]]&gt;0,VALUE(LEFT(Y667,1))*R667,0)</f>
        <v>0</v>
      </c>
      <c r="AA667" s="33">
        <f>IF($Z667&gt;0,VLOOKUP($J667,Ruimtegroepen[],3,FALSE)*VLOOKUP($L667,Vloersoorten[],3,FALSE)*VLOOKUP($Y667,Frequenties[],3,FALSE)*VLOOKUP(#REF!,Locaties[],3,FALSE),0)</f>
        <v>0</v>
      </c>
      <c r="AB667" s="33"/>
      <c r="AC667" s="33"/>
      <c r="AD667" s="33">
        <f>Ruimtestaat[[#This Row],[uren / jaar weekend]]*Tariefsopbouw!$D$40</f>
        <v>0</v>
      </c>
      <c r="AE667" s="86">
        <f>Ruimtestaat[[#This Row],[Prest. (m2 /jaar) weekend]]+Ruimtestaat[[#This Row],[Prest. (m2 /jaar) werkdagen]]</f>
        <v>58808.4</v>
      </c>
      <c r="AF667" s="86">
        <f>Ruimtestaat[[#This Row],[uren / jaar weekend]]+Ruimtestaat[[#This Row],[uren / jaar werkdagen]]</f>
        <v>0</v>
      </c>
      <c r="AG667" s="87">
        <f>Ruimtestaat[[#This Row],[kosten / jaar weekend]]+Ruimtestaat[[#This Row],[kosten / jaar werkdagen]]</f>
        <v>0</v>
      </c>
    </row>
    <row r="668" spans="1:33" ht="15" customHeight="1">
      <c r="A668" s="187">
        <v>5</v>
      </c>
      <c r="B668" s="21" t="str">
        <f>VLOOKUP(Ruimtestaat[[#This Row],[Code]],Locaties[#All],2,FALSE)</f>
        <v>Potskamp</v>
      </c>
      <c r="C668" s="231" t="str">
        <f>VLOOKUP(Ruimtestaat[[#This Row],[Code]],Locaties[#All],4,FALSE)</f>
        <v>Potskampstraat 2</v>
      </c>
      <c r="D668" s="231" t="str">
        <f>VLOOKUP(Ruimtestaat[[#This Row],[Code]],Locaties[#All],5,FALSE)</f>
        <v>7573 CC</v>
      </c>
      <c r="E668" s="187" t="str">
        <f>VLOOKUP(Ruimtestaat[[#This Row],[Code]],Locaties[#All],6,FALSE)</f>
        <v>Oldenzaal</v>
      </c>
      <c r="F668" s="232"/>
      <c r="G668" s="187" t="s">
        <v>679</v>
      </c>
      <c r="H668" s="187"/>
      <c r="I668" s="232" t="s">
        <v>604</v>
      </c>
      <c r="J668" s="187">
        <v>16</v>
      </c>
      <c r="K668" s="187" t="str">
        <f>VLOOKUP(Ruimtestaat[[#This Row],[Ruimte code]],Ruimtegroepen[#All],2,FALSE)</f>
        <v>Leslokalen/computerlokaal</v>
      </c>
      <c r="L668" s="231" t="s">
        <v>1204</v>
      </c>
      <c r="M668" s="187" t="s">
        <v>1205</v>
      </c>
      <c r="N668" s="200">
        <v>33.6</v>
      </c>
      <c r="O668" s="200"/>
      <c r="P668" s="231" t="str">
        <f>VLOOKUP(Ruimtestaat[[#This Row],[Ruimte code]],Ruimtegroepen[#All],4,FALSE)</f>
        <v>L  (Lesruimte)</v>
      </c>
      <c r="Q668" s="201"/>
      <c r="R668" s="202">
        <v>42</v>
      </c>
      <c r="S668" s="202" t="s">
        <v>2</v>
      </c>
      <c r="T668" s="202">
        <f>IF(R668&gt;0,IF(RIGHT(Ruimtestaat[[#This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68" s="202">
        <f>IF(T668&gt;0,VLOOKUP($J668,Ruimtegroepen[],3,FALSE)*VLOOKUP($L668,Vloersoorten[],3,FALSE)*VLOOKUP($S668,Frequenties[],3,FALSE)*VLOOKUP($A668,Locaties[],3,FALSE),0)</f>
        <v>0</v>
      </c>
      <c r="V668" s="202">
        <f>Ruimtestaat[[#This Row],[Uitvoeringen werkdagen]]*Ruimtestaat[[#This Row],[Oppervlak (netto)]]</f>
        <v>7056</v>
      </c>
      <c r="W668" s="242">
        <f>IF(U668&gt;0,Ruimtestaat[[#This Row],[Prest. (m2 /jaar) werkdagen]]/Ruimtestaat[[#This Row],[Norm (m2/uur) werkdagen]],0)</f>
        <v>0</v>
      </c>
      <c r="X668" s="243">
        <f>Ruimtestaat[[#This Row],[uren / jaar werkdagen]]*Tariefsopbouw!$D$38</f>
        <v>0</v>
      </c>
      <c r="Y668" s="33"/>
      <c r="Z668" s="33">
        <f>IF(Ruimtestaat[[#This Row],[Frequentie weekend]]&gt;0,VALUE(LEFT(Y668,1))*R668,0)</f>
        <v>0</v>
      </c>
      <c r="AA668" s="33">
        <f>IF($Z668&gt;0,VLOOKUP($J668,Ruimtegroepen[],3,FALSE)*VLOOKUP($L668,Vloersoorten[],3,FALSE)*VLOOKUP($Y668,Frequenties[],3,FALSE)*VLOOKUP(#REF!,Locaties[],3,FALSE),0)</f>
        <v>0</v>
      </c>
      <c r="AB668" s="33"/>
      <c r="AC668" s="33"/>
      <c r="AD668" s="33">
        <f>Ruimtestaat[[#This Row],[uren / jaar weekend]]*Tariefsopbouw!$D$40</f>
        <v>0</v>
      </c>
      <c r="AE668" s="86">
        <f>Ruimtestaat[[#This Row],[Prest. (m2 /jaar) weekend]]+Ruimtestaat[[#This Row],[Prest. (m2 /jaar) werkdagen]]</f>
        <v>7056</v>
      </c>
      <c r="AF668" s="86">
        <f>Ruimtestaat[[#This Row],[uren / jaar weekend]]+Ruimtestaat[[#This Row],[uren / jaar werkdagen]]</f>
        <v>0</v>
      </c>
      <c r="AG668" s="87">
        <f>Ruimtestaat[[#This Row],[kosten / jaar weekend]]+Ruimtestaat[[#This Row],[kosten / jaar werkdagen]]</f>
        <v>0</v>
      </c>
    </row>
    <row r="669" spans="1:33" ht="15" customHeight="1">
      <c r="A669" s="187">
        <v>5</v>
      </c>
      <c r="B669" s="21" t="str">
        <f>VLOOKUP(Ruimtestaat[[#This Row],[Code]],Locaties[#All],2,FALSE)</f>
        <v>Potskamp</v>
      </c>
      <c r="C669" s="231" t="str">
        <f>VLOOKUP(Ruimtestaat[[#This Row],[Code]],Locaties[#All],4,FALSE)</f>
        <v>Potskampstraat 2</v>
      </c>
      <c r="D669" s="231" t="str">
        <f>VLOOKUP(Ruimtestaat[[#This Row],[Code]],Locaties[#All],5,FALSE)</f>
        <v>7573 CC</v>
      </c>
      <c r="E669" s="187" t="str">
        <f>VLOOKUP(Ruimtestaat[[#This Row],[Code]],Locaties[#All],6,FALSE)</f>
        <v>Oldenzaal</v>
      </c>
      <c r="F669" s="232"/>
      <c r="G669" s="187" t="s">
        <v>679</v>
      </c>
      <c r="H669" s="187"/>
      <c r="I669" s="232" t="s">
        <v>698</v>
      </c>
      <c r="J669" s="187">
        <v>5</v>
      </c>
      <c r="K669" s="187" t="str">
        <f>VLOOKUP(Ruimtestaat[[#This Row],[Ruimte code]],Ruimtegroepen[#All],2,FALSE)</f>
        <v>Sanitair</v>
      </c>
      <c r="L669" s="202" t="s">
        <v>108</v>
      </c>
      <c r="M669" s="187" t="s">
        <v>1201</v>
      </c>
      <c r="N669" s="200">
        <v>8.8000000000000007</v>
      </c>
      <c r="O669" s="200"/>
      <c r="P669" s="231" t="str">
        <f>VLOOKUP(Ruimtestaat[[#This Row],[Ruimte code]],Ruimtegroepen[#All],4,FALSE)</f>
        <v>S  (Sanitair)</v>
      </c>
      <c r="Q669" s="201"/>
      <c r="R669" s="202">
        <v>42</v>
      </c>
      <c r="S669" s="202" t="s">
        <v>19</v>
      </c>
      <c r="T669" s="202">
        <f>IF(R669&gt;0,IF(RIGHT(Ruimtestaat[[#This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669" s="202">
        <f>IF(T669&gt;0,VLOOKUP($J669,Ruimtegroepen[],3,FALSE)*VLOOKUP($L669,Vloersoorten[],3,FALSE)*VLOOKUP($S669,Frequenties[],3,FALSE)*VLOOKUP($A669,Locaties[],3,FALSE),0)</f>
        <v>0</v>
      </c>
      <c r="V669" s="202">
        <f>Ruimtestaat[[#This Row],[Uitvoeringen werkdagen]]*Ruimtestaat[[#This Row],[Oppervlak (netto)]]</f>
        <v>3696.0000000000005</v>
      </c>
      <c r="W669" s="242">
        <f>IF(U669&gt;0,Ruimtestaat[[#This Row],[Prest. (m2 /jaar) werkdagen]]/Ruimtestaat[[#This Row],[Norm (m2/uur) werkdagen]],0)</f>
        <v>0</v>
      </c>
      <c r="X669" s="243">
        <f>Ruimtestaat[[#This Row],[uren / jaar werkdagen]]*Tariefsopbouw!$D$38</f>
        <v>0</v>
      </c>
      <c r="Y669" s="33"/>
      <c r="Z669" s="33">
        <f>IF(Ruimtestaat[[#This Row],[Frequentie weekend]]&gt;0,VALUE(LEFT(Y669,1))*R669,0)</f>
        <v>0</v>
      </c>
      <c r="AA669" s="33">
        <f>IF($Z669&gt;0,VLOOKUP($J669,Ruimtegroepen[],3,FALSE)*VLOOKUP($L669,Vloersoorten[],3,FALSE)*VLOOKUP($Y669,Frequenties[],3,FALSE)*VLOOKUP(#REF!,Locaties[],3,FALSE),0)</f>
        <v>0</v>
      </c>
      <c r="AB669" s="33"/>
      <c r="AC669" s="33"/>
      <c r="AD669" s="33">
        <f>Ruimtestaat[[#This Row],[uren / jaar weekend]]*Tariefsopbouw!$D$40</f>
        <v>0</v>
      </c>
      <c r="AE669" s="86">
        <f>Ruimtestaat[[#This Row],[Prest. (m2 /jaar) weekend]]+Ruimtestaat[[#This Row],[Prest. (m2 /jaar) werkdagen]]</f>
        <v>3696.0000000000005</v>
      </c>
      <c r="AF669" s="86">
        <f>Ruimtestaat[[#This Row],[uren / jaar weekend]]+Ruimtestaat[[#This Row],[uren / jaar werkdagen]]</f>
        <v>0</v>
      </c>
      <c r="AG669" s="87">
        <f>Ruimtestaat[[#This Row],[kosten / jaar weekend]]+Ruimtestaat[[#This Row],[kosten / jaar werkdagen]]</f>
        <v>0</v>
      </c>
    </row>
    <row r="670" spans="1:33" ht="15" customHeight="1">
      <c r="A670" s="187">
        <v>5</v>
      </c>
      <c r="B670" s="21" t="str">
        <f>VLOOKUP(Ruimtestaat[[#This Row],[Code]],Locaties[#All],2,FALSE)</f>
        <v>Potskamp</v>
      </c>
      <c r="C670" s="231" t="str">
        <f>VLOOKUP(Ruimtestaat[[#This Row],[Code]],Locaties[#All],4,FALSE)</f>
        <v>Potskampstraat 2</v>
      </c>
      <c r="D670" s="231" t="str">
        <f>VLOOKUP(Ruimtestaat[[#This Row],[Code]],Locaties[#All],5,FALSE)</f>
        <v>7573 CC</v>
      </c>
      <c r="E670" s="187" t="str">
        <f>VLOOKUP(Ruimtestaat[[#This Row],[Code]],Locaties[#All],6,FALSE)</f>
        <v>Oldenzaal</v>
      </c>
      <c r="F670" s="232"/>
      <c r="G670" s="187" t="s">
        <v>679</v>
      </c>
      <c r="H670" s="187"/>
      <c r="I670" s="232" t="s">
        <v>698</v>
      </c>
      <c r="J670" s="187">
        <v>5</v>
      </c>
      <c r="K670" s="187" t="str">
        <f>VLOOKUP(Ruimtestaat[[#This Row],[Ruimte code]],Ruimtegroepen[#All],2,FALSE)</f>
        <v>Sanitair</v>
      </c>
      <c r="L670" s="202" t="s">
        <v>108</v>
      </c>
      <c r="M670" s="187" t="s">
        <v>1201</v>
      </c>
      <c r="N670" s="200">
        <v>5.4</v>
      </c>
      <c r="O670" s="200"/>
      <c r="P670" s="231" t="str">
        <f>VLOOKUP(Ruimtestaat[[#This Row],[Ruimte code]],Ruimtegroepen[#All],4,FALSE)</f>
        <v>S  (Sanitair)</v>
      </c>
      <c r="Q670" s="201"/>
      <c r="R670" s="202">
        <v>42</v>
      </c>
      <c r="S670" s="202" t="s">
        <v>19</v>
      </c>
      <c r="T670" s="202">
        <f>IF(R670&gt;0,IF(RIGHT(Ruimtestaat[[#This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670" s="202">
        <f>IF(T670&gt;0,VLOOKUP($J670,Ruimtegroepen[],3,FALSE)*VLOOKUP($L670,Vloersoorten[],3,FALSE)*VLOOKUP($S670,Frequenties[],3,FALSE)*VLOOKUP($A670,Locaties[],3,FALSE),0)</f>
        <v>0</v>
      </c>
      <c r="V670" s="202">
        <f>Ruimtestaat[[#This Row],[Uitvoeringen werkdagen]]*Ruimtestaat[[#This Row],[Oppervlak (netto)]]</f>
        <v>2268</v>
      </c>
      <c r="W670" s="242">
        <f>IF(U670&gt;0,Ruimtestaat[[#This Row],[Prest. (m2 /jaar) werkdagen]]/Ruimtestaat[[#This Row],[Norm (m2/uur) werkdagen]],0)</f>
        <v>0</v>
      </c>
      <c r="X670" s="243">
        <f>Ruimtestaat[[#This Row],[uren / jaar werkdagen]]*Tariefsopbouw!$D$38</f>
        <v>0</v>
      </c>
      <c r="Y670" s="33"/>
      <c r="Z670" s="33">
        <f>IF(Ruimtestaat[[#This Row],[Frequentie weekend]]&gt;0,VALUE(LEFT(Y670,1))*R670,0)</f>
        <v>0</v>
      </c>
      <c r="AA670" s="33">
        <f>IF($Z670&gt;0,VLOOKUP($J670,Ruimtegroepen[],3,FALSE)*VLOOKUP($L670,Vloersoorten[],3,FALSE)*VLOOKUP($Y670,Frequenties[],3,FALSE)*VLOOKUP(#REF!,Locaties[],3,FALSE),0)</f>
        <v>0</v>
      </c>
      <c r="AB670" s="33"/>
      <c r="AC670" s="33"/>
      <c r="AD670" s="33">
        <f>Ruimtestaat[[#This Row],[uren / jaar weekend]]*Tariefsopbouw!$D$40</f>
        <v>0</v>
      </c>
      <c r="AE670" s="86">
        <f>Ruimtestaat[[#This Row],[Prest. (m2 /jaar) weekend]]+Ruimtestaat[[#This Row],[Prest. (m2 /jaar) werkdagen]]</f>
        <v>2268</v>
      </c>
      <c r="AF670" s="86">
        <f>Ruimtestaat[[#This Row],[uren / jaar weekend]]+Ruimtestaat[[#This Row],[uren / jaar werkdagen]]</f>
        <v>0</v>
      </c>
      <c r="AG670" s="87">
        <f>Ruimtestaat[[#This Row],[kosten / jaar weekend]]+Ruimtestaat[[#This Row],[kosten / jaar werkdagen]]</f>
        <v>0</v>
      </c>
    </row>
    <row r="671" spans="1:33" ht="15" customHeight="1">
      <c r="A671" s="187">
        <v>5</v>
      </c>
      <c r="B671" s="21" t="str">
        <f>VLOOKUP(Ruimtestaat[[#This Row],[Code]],Locaties[#All],2,FALSE)</f>
        <v>Potskamp</v>
      </c>
      <c r="C671" s="231" t="str">
        <f>VLOOKUP(Ruimtestaat[[#This Row],[Code]],Locaties[#All],4,FALSE)</f>
        <v>Potskampstraat 2</v>
      </c>
      <c r="D671" s="231" t="str">
        <f>VLOOKUP(Ruimtestaat[[#This Row],[Code]],Locaties[#All],5,FALSE)</f>
        <v>7573 CC</v>
      </c>
      <c r="E671" s="187" t="str">
        <f>VLOOKUP(Ruimtestaat[[#This Row],[Code]],Locaties[#All],6,FALSE)</f>
        <v>Oldenzaal</v>
      </c>
      <c r="F671" s="232"/>
      <c r="G671" s="187" t="s">
        <v>679</v>
      </c>
      <c r="H671" s="187" t="s">
        <v>622</v>
      </c>
      <c r="I671" s="232" t="s">
        <v>789</v>
      </c>
      <c r="J671" s="187">
        <v>7</v>
      </c>
      <c r="K671" s="187" t="str">
        <f>VLOOKUP(Ruimtestaat[[#This Row],[Ruimte code]],Ruimtegroepen[#All],2,FALSE)</f>
        <v>Entree / buitenentree</v>
      </c>
      <c r="L671" s="231" t="s">
        <v>1204</v>
      </c>
      <c r="M671" s="187" t="s">
        <v>1205</v>
      </c>
      <c r="N671" s="200">
        <v>4.4000000000000004</v>
      </c>
      <c r="O671" s="200"/>
      <c r="P671" s="231" t="str">
        <f>VLOOKUP(Ruimtestaat[[#This Row],[Ruimte code]],Ruimtegroepen[#All],4,FALSE)</f>
        <v>V  (Verkeersruimte)</v>
      </c>
      <c r="Q671" s="201"/>
      <c r="R671" s="202">
        <v>42</v>
      </c>
      <c r="S671" s="202" t="s">
        <v>18</v>
      </c>
      <c r="T671" s="202">
        <f>IF(R671&gt;0,IF(RIGHT(Ruimtestaat[[#This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126</v>
      </c>
      <c r="U671" s="202">
        <f>IF(T671&gt;0,VLOOKUP($J671,Ruimtegroepen[],3,FALSE)*VLOOKUP($L671,Vloersoorten[],3,FALSE)*VLOOKUP($S671,Frequenties[],3,FALSE)*VLOOKUP($A671,Locaties[],3,FALSE),0)</f>
        <v>0</v>
      </c>
      <c r="V671" s="202">
        <f>Ruimtestaat[[#This Row],[Uitvoeringen werkdagen]]*Ruimtestaat[[#This Row],[Oppervlak (netto)]]</f>
        <v>554.40000000000009</v>
      </c>
      <c r="W671" s="242">
        <f>IF(U671&gt;0,Ruimtestaat[[#This Row],[Prest. (m2 /jaar) werkdagen]]/Ruimtestaat[[#This Row],[Norm (m2/uur) werkdagen]],0)</f>
        <v>0</v>
      </c>
      <c r="X671" s="243">
        <f>Ruimtestaat[[#This Row],[uren / jaar werkdagen]]*Tariefsopbouw!$D$38</f>
        <v>0</v>
      </c>
      <c r="Y671" s="33"/>
      <c r="Z671" s="33">
        <f>IF(Ruimtestaat[[#This Row],[Frequentie weekend]]&gt;0,VALUE(LEFT(Y671,1))*R671,0)</f>
        <v>0</v>
      </c>
      <c r="AA671" s="33">
        <f>IF($Z671&gt;0,VLOOKUP($J671,Ruimtegroepen[],3,FALSE)*VLOOKUP($L671,Vloersoorten[],3,FALSE)*VLOOKUP($Y671,Frequenties[],3,FALSE)*VLOOKUP(#REF!,Locaties[],3,FALSE),0)</f>
        <v>0</v>
      </c>
      <c r="AB671" s="33"/>
      <c r="AC671" s="33"/>
      <c r="AD671" s="33">
        <f>Ruimtestaat[[#This Row],[uren / jaar weekend]]*Tariefsopbouw!$D$40</f>
        <v>0</v>
      </c>
      <c r="AE671" s="86">
        <f>Ruimtestaat[[#This Row],[Prest. (m2 /jaar) weekend]]+Ruimtestaat[[#This Row],[Prest. (m2 /jaar) werkdagen]]</f>
        <v>554.40000000000009</v>
      </c>
      <c r="AF671" s="86">
        <f>Ruimtestaat[[#This Row],[uren / jaar weekend]]+Ruimtestaat[[#This Row],[uren / jaar werkdagen]]</f>
        <v>0</v>
      </c>
      <c r="AG671" s="87">
        <f>Ruimtestaat[[#This Row],[kosten / jaar weekend]]+Ruimtestaat[[#This Row],[kosten / jaar werkdagen]]</f>
        <v>0</v>
      </c>
    </row>
    <row r="672" spans="1:33" ht="15" customHeight="1">
      <c r="A672" s="187">
        <v>5</v>
      </c>
      <c r="B672" s="21" t="str">
        <f>VLOOKUP(Ruimtestaat[[#This Row],[Code]],Locaties[#All],2,FALSE)</f>
        <v>Potskamp</v>
      </c>
      <c r="C672" s="231" t="str">
        <f>VLOOKUP(Ruimtestaat[[#This Row],[Code]],Locaties[#All],4,FALSE)</f>
        <v>Potskampstraat 2</v>
      </c>
      <c r="D672" s="231" t="str">
        <f>VLOOKUP(Ruimtestaat[[#This Row],[Code]],Locaties[#All],5,FALSE)</f>
        <v>7573 CC</v>
      </c>
      <c r="E672" s="187" t="str">
        <f>VLOOKUP(Ruimtestaat[[#This Row],[Code]],Locaties[#All],6,FALSE)</f>
        <v>Oldenzaal</v>
      </c>
      <c r="F672" s="232"/>
      <c r="G672" s="187" t="s">
        <v>679</v>
      </c>
      <c r="H672" s="187" t="s">
        <v>622</v>
      </c>
      <c r="I672" s="232" t="s">
        <v>790</v>
      </c>
      <c r="J672" s="187">
        <v>11</v>
      </c>
      <c r="K672" s="187" t="str">
        <f>VLOOKUP(Ruimtestaat[[#This Row],[Ruimte code]],Ruimtegroepen[#All],2,FALSE)</f>
        <v>Garderobes/kluisjesruimte</v>
      </c>
      <c r="L672" s="187" t="s">
        <v>109</v>
      </c>
      <c r="M672" s="187" t="s">
        <v>126</v>
      </c>
      <c r="N672" s="200">
        <v>7.6</v>
      </c>
      <c r="O672" s="200"/>
      <c r="P672" s="231" t="str">
        <f>VLOOKUP(Ruimtestaat[[#This Row],[Ruimte code]],Ruimtegroepen[#All],4,FALSE)</f>
        <v>V  (Verkeersruimte)</v>
      </c>
      <c r="Q672" s="201"/>
      <c r="R672" s="202">
        <v>42</v>
      </c>
      <c r="S672" s="202" t="s">
        <v>18</v>
      </c>
      <c r="T672" s="202">
        <f>IF(R672&gt;0,IF(RIGHT(Ruimtestaat[[#This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126</v>
      </c>
      <c r="U672" s="202">
        <f>IF(T672&gt;0,VLOOKUP($J672,Ruimtegroepen[],3,FALSE)*VLOOKUP($L672,Vloersoorten[],3,FALSE)*VLOOKUP($S672,Frequenties[],3,FALSE)*VLOOKUP($A672,Locaties[],3,FALSE),0)</f>
        <v>0</v>
      </c>
      <c r="V672" s="202">
        <f>Ruimtestaat[[#This Row],[Uitvoeringen werkdagen]]*Ruimtestaat[[#This Row],[Oppervlak (netto)]]</f>
        <v>957.59999999999991</v>
      </c>
      <c r="W672" s="242">
        <f>IF(U672&gt;0,Ruimtestaat[[#This Row],[Prest. (m2 /jaar) werkdagen]]/Ruimtestaat[[#This Row],[Norm (m2/uur) werkdagen]],0)</f>
        <v>0</v>
      </c>
      <c r="X672" s="243">
        <f>Ruimtestaat[[#This Row],[uren / jaar werkdagen]]*Tariefsopbouw!$D$38</f>
        <v>0</v>
      </c>
      <c r="Y672" s="33"/>
      <c r="Z672" s="33">
        <f>IF(Ruimtestaat[[#This Row],[Frequentie weekend]]&gt;0,VALUE(LEFT(Y672,1))*R672,0)</f>
        <v>0</v>
      </c>
      <c r="AA672" s="33">
        <f>IF($Z672&gt;0,VLOOKUP($J672,Ruimtegroepen[],3,FALSE)*VLOOKUP($L672,Vloersoorten[],3,FALSE)*VLOOKUP($Y672,Frequenties[],3,FALSE)*VLOOKUP(#REF!,Locaties[],3,FALSE),0)</f>
        <v>0</v>
      </c>
      <c r="AB672" s="33"/>
      <c r="AC672" s="33"/>
      <c r="AD672" s="33">
        <f>Ruimtestaat[[#This Row],[uren / jaar weekend]]*Tariefsopbouw!$D$40</f>
        <v>0</v>
      </c>
      <c r="AE672" s="86">
        <f>Ruimtestaat[[#This Row],[Prest. (m2 /jaar) weekend]]+Ruimtestaat[[#This Row],[Prest. (m2 /jaar) werkdagen]]</f>
        <v>957.59999999999991</v>
      </c>
      <c r="AF672" s="86">
        <f>Ruimtestaat[[#This Row],[uren / jaar weekend]]+Ruimtestaat[[#This Row],[uren / jaar werkdagen]]</f>
        <v>0</v>
      </c>
      <c r="AG672" s="87">
        <f>Ruimtestaat[[#This Row],[kosten / jaar weekend]]+Ruimtestaat[[#This Row],[kosten / jaar werkdagen]]</f>
        <v>0</v>
      </c>
    </row>
    <row r="673" spans="1:33" ht="15" customHeight="1">
      <c r="A673" s="187">
        <v>5</v>
      </c>
      <c r="B673" s="21" t="str">
        <f>VLOOKUP(Ruimtestaat[[#This Row],[Code]],Locaties[#All],2,FALSE)</f>
        <v>Potskamp</v>
      </c>
      <c r="C673" s="231" t="str">
        <f>VLOOKUP(Ruimtestaat[[#This Row],[Code]],Locaties[#All],4,FALSE)</f>
        <v>Potskampstraat 2</v>
      </c>
      <c r="D673" s="231" t="str">
        <f>VLOOKUP(Ruimtestaat[[#This Row],[Code]],Locaties[#All],5,FALSE)</f>
        <v>7573 CC</v>
      </c>
      <c r="E673" s="187" t="str">
        <f>VLOOKUP(Ruimtestaat[[#This Row],[Code]],Locaties[#All],6,FALSE)</f>
        <v>Oldenzaal</v>
      </c>
      <c r="F673" s="232"/>
      <c r="G673" s="187" t="s">
        <v>679</v>
      </c>
      <c r="H673" s="187" t="s">
        <v>622</v>
      </c>
      <c r="I673" s="232" t="s">
        <v>624</v>
      </c>
      <c r="J673" s="187">
        <v>4</v>
      </c>
      <c r="K673" s="187" t="str">
        <f>VLOOKUP(Ruimtestaat[[#This Row],[Ruimte code]],Ruimtegroepen[#All],2,FALSE)</f>
        <v>Vergader/spreekkamers</v>
      </c>
      <c r="L673" s="231" t="s">
        <v>1204</v>
      </c>
      <c r="M673" s="187" t="s">
        <v>1205</v>
      </c>
      <c r="N673" s="200">
        <v>33.700000000000003</v>
      </c>
      <c r="O673" s="200"/>
      <c r="P673" s="231" t="str">
        <f>VLOOKUP(Ruimtestaat[[#This Row],[Ruimte code]],Ruimtegroepen[#All],4,FALSE)</f>
        <v>B  (Bureauruimte)</v>
      </c>
      <c r="Q673" s="201"/>
      <c r="R673" s="202">
        <v>42</v>
      </c>
      <c r="S673" s="202" t="s">
        <v>2</v>
      </c>
      <c r="T673" s="202">
        <f>IF(R673&gt;0,IF(RIGHT(Ruimtestaat[[#This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73" s="202">
        <f>IF(T673&gt;0,VLOOKUP($J673,Ruimtegroepen[],3,FALSE)*VLOOKUP($L673,Vloersoorten[],3,FALSE)*VLOOKUP($S673,Frequenties[],3,FALSE)*VLOOKUP($A673,Locaties[],3,FALSE),0)</f>
        <v>0</v>
      </c>
      <c r="V673" s="202">
        <f>Ruimtestaat[[#This Row],[Uitvoeringen werkdagen]]*Ruimtestaat[[#This Row],[Oppervlak (netto)]]</f>
        <v>7077.0000000000009</v>
      </c>
      <c r="W673" s="242">
        <f>IF(U673&gt;0,Ruimtestaat[[#This Row],[Prest. (m2 /jaar) werkdagen]]/Ruimtestaat[[#This Row],[Norm (m2/uur) werkdagen]],0)</f>
        <v>0</v>
      </c>
      <c r="X673" s="243">
        <f>Ruimtestaat[[#This Row],[uren / jaar werkdagen]]*Tariefsopbouw!$D$38</f>
        <v>0</v>
      </c>
      <c r="Y673" s="33"/>
      <c r="Z673" s="33">
        <f>IF(Ruimtestaat[[#This Row],[Frequentie weekend]]&gt;0,VALUE(LEFT(Y673,1))*R673,0)</f>
        <v>0</v>
      </c>
      <c r="AA673" s="33">
        <f>IF($Z673&gt;0,VLOOKUP($J673,Ruimtegroepen[],3,FALSE)*VLOOKUP($L673,Vloersoorten[],3,FALSE)*VLOOKUP($Y673,Frequenties[],3,FALSE)*VLOOKUP(#REF!,Locaties[],3,FALSE),0)</f>
        <v>0</v>
      </c>
      <c r="AB673" s="33"/>
      <c r="AC673" s="33"/>
      <c r="AD673" s="33">
        <f>Ruimtestaat[[#This Row],[uren / jaar weekend]]*Tariefsopbouw!$D$40</f>
        <v>0</v>
      </c>
      <c r="AE673" s="86">
        <f>Ruimtestaat[[#This Row],[Prest. (m2 /jaar) weekend]]+Ruimtestaat[[#This Row],[Prest. (m2 /jaar) werkdagen]]</f>
        <v>7077.0000000000009</v>
      </c>
      <c r="AF673" s="86">
        <f>Ruimtestaat[[#This Row],[uren / jaar weekend]]+Ruimtestaat[[#This Row],[uren / jaar werkdagen]]</f>
        <v>0</v>
      </c>
      <c r="AG673" s="87">
        <f>Ruimtestaat[[#This Row],[kosten / jaar weekend]]+Ruimtestaat[[#This Row],[kosten / jaar werkdagen]]</f>
        <v>0</v>
      </c>
    </row>
    <row r="674" spans="1:33" ht="15" customHeight="1">
      <c r="A674" s="187">
        <v>5</v>
      </c>
      <c r="B674" s="21" t="str">
        <f>VLOOKUP(Ruimtestaat[[#This Row],[Code]],Locaties[#All],2,FALSE)</f>
        <v>Potskamp</v>
      </c>
      <c r="C674" s="231" t="str">
        <f>VLOOKUP(Ruimtestaat[[#This Row],[Code]],Locaties[#All],4,FALSE)</f>
        <v>Potskampstraat 2</v>
      </c>
      <c r="D674" s="231" t="str">
        <f>VLOOKUP(Ruimtestaat[[#This Row],[Code]],Locaties[#All],5,FALSE)</f>
        <v>7573 CC</v>
      </c>
      <c r="E674" s="187" t="str">
        <f>VLOOKUP(Ruimtestaat[[#This Row],[Code]],Locaties[#All],6,FALSE)</f>
        <v>Oldenzaal</v>
      </c>
      <c r="F674" s="232"/>
      <c r="G674" s="187" t="s">
        <v>679</v>
      </c>
      <c r="H674" s="187" t="s">
        <v>622</v>
      </c>
      <c r="I674" s="232" t="s">
        <v>623</v>
      </c>
      <c r="J674" s="187">
        <v>12</v>
      </c>
      <c r="K674" s="187" t="str">
        <f>VLOOKUP(Ruimtestaat[[#This Row],[Ruimte code]],Ruimtegroepen[#All],2,FALSE)</f>
        <v>Kantine/aula</v>
      </c>
      <c r="L674" s="187" t="s">
        <v>109</v>
      </c>
      <c r="M674" s="187" t="s">
        <v>126</v>
      </c>
      <c r="N674" s="200">
        <v>272</v>
      </c>
      <c r="O674" s="200"/>
      <c r="P674" s="231" t="str">
        <f>VLOOKUP(Ruimtestaat[[#This Row],[Ruimte code]],Ruimtegroepen[#All],4,FALSE)</f>
        <v>V  (Verkeersruimte)</v>
      </c>
      <c r="Q674" s="201"/>
      <c r="R674" s="202">
        <v>42</v>
      </c>
      <c r="S674" s="202" t="s">
        <v>18</v>
      </c>
      <c r="T674" s="202">
        <f>IF(R674&gt;0,IF(RIGHT(Ruimtestaat[[#This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126</v>
      </c>
      <c r="U674" s="202">
        <f>IF(T674&gt;0,VLOOKUP($J674,Ruimtegroepen[],3,FALSE)*VLOOKUP($L674,Vloersoorten[],3,FALSE)*VLOOKUP($S674,Frequenties[],3,FALSE)*VLOOKUP($A674,Locaties[],3,FALSE),0)</f>
        <v>0</v>
      </c>
      <c r="V674" s="202">
        <f>Ruimtestaat[[#This Row],[Uitvoeringen werkdagen]]*Ruimtestaat[[#This Row],[Oppervlak (netto)]]</f>
        <v>34272</v>
      </c>
      <c r="W674" s="242">
        <f>IF(U674&gt;0,Ruimtestaat[[#This Row],[Prest. (m2 /jaar) werkdagen]]/Ruimtestaat[[#This Row],[Norm (m2/uur) werkdagen]],0)</f>
        <v>0</v>
      </c>
      <c r="X674" s="243">
        <f>Ruimtestaat[[#This Row],[uren / jaar werkdagen]]*Tariefsopbouw!$D$38</f>
        <v>0</v>
      </c>
      <c r="Y674" s="33"/>
      <c r="Z674" s="33">
        <f>IF(Ruimtestaat[[#This Row],[Frequentie weekend]]&gt;0,VALUE(LEFT(Y674,1))*R674,0)</f>
        <v>0</v>
      </c>
      <c r="AA674" s="33">
        <f>IF($Z674&gt;0,VLOOKUP($J674,Ruimtegroepen[],3,FALSE)*VLOOKUP($L674,Vloersoorten[],3,FALSE)*VLOOKUP($Y674,Frequenties[],3,FALSE)*VLOOKUP(#REF!,Locaties[],3,FALSE),0)</f>
        <v>0</v>
      </c>
      <c r="AB674" s="33"/>
      <c r="AC674" s="33"/>
      <c r="AD674" s="33">
        <f>Ruimtestaat[[#This Row],[uren / jaar weekend]]*Tariefsopbouw!$D$40</f>
        <v>0</v>
      </c>
      <c r="AE674" s="86">
        <f>Ruimtestaat[[#This Row],[Prest. (m2 /jaar) weekend]]+Ruimtestaat[[#This Row],[Prest. (m2 /jaar) werkdagen]]</f>
        <v>34272</v>
      </c>
      <c r="AF674" s="86">
        <f>Ruimtestaat[[#This Row],[uren / jaar weekend]]+Ruimtestaat[[#This Row],[uren / jaar werkdagen]]</f>
        <v>0</v>
      </c>
      <c r="AG674" s="87">
        <f>Ruimtestaat[[#This Row],[kosten / jaar weekend]]+Ruimtestaat[[#This Row],[kosten / jaar werkdagen]]</f>
        <v>0</v>
      </c>
    </row>
    <row r="675" spans="1:33" ht="15" customHeight="1">
      <c r="A675" s="187">
        <v>5</v>
      </c>
      <c r="B675" s="21" t="str">
        <f>VLOOKUP(Ruimtestaat[[#This Row],[Code]],Locaties[#All],2,FALSE)</f>
        <v>Potskamp</v>
      </c>
      <c r="C675" s="231" t="str">
        <f>VLOOKUP(Ruimtestaat[[#This Row],[Code]],Locaties[#All],4,FALSE)</f>
        <v>Potskampstraat 2</v>
      </c>
      <c r="D675" s="231" t="str">
        <f>VLOOKUP(Ruimtestaat[[#This Row],[Code]],Locaties[#All],5,FALSE)</f>
        <v>7573 CC</v>
      </c>
      <c r="E675" s="187" t="str">
        <f>VLOOKUP(Ruimtestaat[[#This Row],[Code]],Locaties[#All],6,FALSE)</f>
        <v>Oldenzaal</v>
      </c>
      <c r="F675" s="232"/>
      <c r="G675" s="187" t="s">
        <v>679</v>
      </c>
      <c r="H675" s="187" t="s">
        <v>622</v>
      </c>
      <c r="I675" s="232" t="s">
        <v>791</v>
      </c>
      <c r="J675" s="187">
        <v>14</v>
      </c>
      <c r="K675" s="187" t="str">
        <f>VLOOKUP(Ruimtestaat[[#This Row],[Ruimte code]],Ruimtegroepen[#All],2,FALSE)</f>
        <v>Praktijklokalen/kabinet</v>
      </c>
      <c r="L675" s="202" t="s">
        <v>108</v>
      </c>
      <c r="M675" s="187" t="s">
        <v>1206</v>
      </c>
      <c r="N675" s="200">
        <v>238</v>
      </c>
      <c r="O675" s="200"/>
      <c r="P675" s="231" t="str">
        <f>VLOOKUP(Ruimtestaat[[#This Row],[Ruimte code]],Ruimtegroepen[#All],4,FALSE)</f>
        <v>L  (Lesruimte)</v>
      </c>
      <c r="Q675" s="201"/>
      <c r="R675" s="202">
        <v>42</v>
      </c>
      <c r="S675" s="202" t="s">
        <v>2</v>
      </c>
      <c r="T675" s="202">
        <f>IF(R675&gt;0,IF(RIGHT(Ruimtestaat[[#This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75" s="202">
        <f>IF(T675&gt;0,VLOOKUP($J675,Ruimtegroepen[],3,FALSE)*VLOOKUP($L675,Vloersoorten[],3,FALSE)*VLOOKUP($S675,Frequenties[],3,FALSE)*VLOOKUP($A675,Locaties[],3,FALSE),0)</f>
        <v>0</v>
      </c>
      <c r="V675" s="202">
        <f>Ruimtestaat[[#This Row],[Uitvoeringen werkdagen]]*Ruimtestaat[[#This Row],[Oppervlak (netto)]]</f>
        <v>49980</v>
      </c>
      <c r="W675" s="242">
        <f>IF(U675&gt;0,Ruimtestaat[[#This Row],[Prest. (m2 /jaar) werkdagen]]/Ruimtestaat[[#This Row],[Norm (m2/uur) werkdagen]],0)</f>
        <v>0</v>
      </c>
      <c r="X675" s="243">
        <f>Ruimtestaat[[#This Row],[uren / jaar werkdagen]]*Tariefsopbouw!$D$38</f>
        <v>0</v>
      </c>
      <c r="Y675" s="33"/>
      <c r="Z675" s="33">
        <f>IF(Ruimtestaat[[#This Row],[Frequentie weekend]]&gt;0,VALUE(LEFT(Y675,1))*R675,0)</f>
        <v>0</v>
      </c>
      <c r="AA675" s="33">
        <f>IF($Z675&gt;0,VLOOKUP($J675,Ruimtegroepen[],3,FALSE)*VLOOKUP($L675,Vloersoorten[],3,FALSE)*VLOOKUP($Y675,Frequenties[],3,FALSE)*VLOOKUP(#REF!,Locaties[],3,FALSE),0)</f>
        <v>0</v>
      </c>
      <c r="AB675" s="33"/>
      <c r="AC675" s="33"/>
      <c r="AD675" s="33">
        <f>Ruimtestaat[[#This Row],[uren / jaar weekend]]*Tariefsopbouw!$D$40</f>
        <v>0</v>
      </c>
      <c r="AE675" s="86">
        <f>Ruimtestaat[[#This Row],[Prest. (m2 /jaar) weekend]]+Ruimtestaat[[#This Row],[Prest. (m2 /jaar) werkdagen]]</f>
        <v>49980</v>
      </c>
      <c r="AF675" s="86">
        <f>Ruimtestaat[[#This Row],[uren / jaar weekend]]+Ruimtestaat[[#This Row],[uren / jaar werkdagen]]</f>
        <v>0</v>
      </c>
      <c r="AG675" s="87">
        <f>Ruimtestaat[[#This Row],[kosten / jaar weekend]]+Ruimtestaat[[#This Row],[kosten / jaar werkdagen]]</f>
        <v>0</v>
      </c>
    </row>
    <row r="676" spans="1:33" ht="15" customHeight="1">
      <c r="A676" s="187">
        <v>5</v>
      </c>
      <c r="B676" s="21" t="str">
        <f>VLOOKUP(Ruimtestaat[[#This Row],[Code]],Locaties[#All],2,FALSE)</f>
        <v>Potskamp</v>
      </c>
      <c r="C676" s="231" t="str">
        <f>VLOOKUP(Ruimtestaat[[#This Row],[Code]],Locaties[#All],4,FALSE)</f>
        <v>Potskampstraat 2</v>
      </c>
      <c r="D676" s="231" t="str">
        <f>VLOOKUP(Ruimtestaat[[#This Row],[Code]],Locaties[#All],5,FALSE)</f>
        <v>7573 CC</v>
      </c>
      <c r="E676" s="187" t="str">
        <f>VLOOKUP(Ruimtestaat[[#This Row],[Code]],Locaties[#All],6,FALSE)</f>
        <v>Oldenzaal</v>
      </c>
      <c r="F676" s="232"/>
      <c r="G676" s="187" t="s">
        <v>679</v>
      </c>
      <c r="H676" s="187"/>
      <c r="I676" s="232" t="s">
        <v>792</v>
      </c>
      <c r="J676" s="187">
        <v>14</v>
      </c>
      <c r="K676" s="187" t="str">
        <f>VLOOKUP(Ruimtestaat[[#This Row],[Ruimte code]],Ruimtegroepen[#All],2,FALSE)</f>
        <v>Praktijklokalen/kabinet</v>
      </c>
      <c r="L676" s="202" t="s">
        <v>108</v>
      </c>
      <c r="M676" s="187" t="s">
        <v>1206</v>
      </c>
      <c r="N676" s="200">
        <v>80.5</v>
      </c>
      <c r="O676" s="200"/>
      <c r="P676" s="231" t="str">
        <f>VLOOKUP(Ruimtestaat[[#This Row],[Ruimte code]],Ruimtegroepen[#All],4,FALSE)</f>
        <v>L  (Lesruimte)</v>
      </c>
      <c r="Q676" s="201"/>
      <c r="R676" s="202">
        <v>42</v>
      </c>
      <c r="S676" s="202" t="s">
        <v>2</v>
      </c>
      <c r="T676" s="202">
        <f>IF(R676&gt;0,IF(RIGHT(Ruimtestaat[[#This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76" s="202">
        <f>IF(T676&gt;0,VLOOKUP($J676,Ruimtegroepen[],3,FALSE)*VLOOKUP($L676,Vloersoorten[],3,FALSE)*VLOOKUP($S676,Frequenties[],3,FALSE)*VLOOKUP($A676,Locaties[],3,FALSE),0)</f>
        <v>0</v>
      </c>
      <c r="V676" s="202">
        <f>Ruimtestaat[[#This Row],[Uitvoeringen werkdagen]]*Ruimtestaat[[#This Row],[Oppervlak (netto)]]</f>
        <v>16905</v>
      </c>
      <c r="W676" s="242">
        <f>IF(U676&gt;0,Ruimtestaat[[#This Row],[Prest. (m2 /jaar) werkdagen]]/Ruimtestaat[[#This Row],[Norm (m2/uur) werkdagen]],0)</f>
        <v>0</v>
      </c>
      <c r="X676" s="243">
        <f>Ruimtestaat[[#This Row],[uren / jaar werkdagen]]*Tariefsopbouw!$D$38</f>
        <v>0</v>
      </c>
      <c r="Y676" s="33"/>
      <c r="Z676" s="33">
        <f>IF(Ruimtestaat[[#This Row],[Frequentie weekend]]&gt;0,VALUE(LEFT(Y676,1))*R676,0)</f>
        <v>0</v>
      </c>
      <c r="AA676" s="33">
        <f>IF($Z676&gt;0,VLOOKUP($J676,Ruimtegroepen[],3,FALSE)*VLOOKUP($L676,Vloersoorten[],3,FALSE)*VLOOKUP($Y676,Frequenties[],3,FALSE)*VLOOKUP(#REF!,Locaties[],3,FALSE),0)</f>
        <v>0</v>
      </c>
      <c r="AB676" s="33"/>
      <c r="AC676" s="33"/>
      <c r="AD676" s="33">
        <f>Ruimtestaat[[#This Row],[uren / jaar weekend]]*Tariefsopbouw!$D$40</f>
        <v>0</v>
      </c>
      <c r="AE676" s="86">
        <f>Ruimtestaat[[#This Row],[Prest. (m2 /jaar) weekend]]+Ruimtestaat[[#This Row],[Prest. (m2 /jaar) werkdagen]]</f>
        <v>16905</v>
      </c>
      <c r="AF676" s="86">
        <f>Ruimtestaat[[#This Row],[uren / jaar weekend]]+Ruimtestaat[[#This Row],[uren / jaar werkdagen]]</f>
        <v>0</v>
      </c>
      <c r="AG676" s="87">
        <f>Ruimtestaat[[#This Row],[kosten / jaar weekend]]+Ruimtestaat[[#This Row],[kosten / jaar werkdagen]]</f>
        <v>0</v>
      </c>
    </row>
    <row r="677" spans="1:33" ht="15" customHeight="1">
      <c r="A677" s="187">
        <v>5</v>
      </c>
      <c r="B677" s="21" t="str">
        <f>VLOOKUP(Ruimtestaat[[#This Row],[Code]],Locaties[#All],2,FALSE)</f>
        <v>Potskamp</v>
      </c>
      <c r="C677" s="231" t="str">
        <f>VLOOKUP(Ruimtestaat[[#This Row],[Code]],Locaties[#All],4,FALSE)</f>
        <v>Potskampstraat 2</v>
      </c>
      <c r="D677" s="231" t="str">
        <f>VLOOKUP(Ruimtestaat[[#This Row],[Code]],Locaties[#All],5,FALSE)</f>
        <v>7573 CC</v>
      </c>
      <c r="E677" s="187" t="str">
        <f>VLOOKUP(Ruimtestaat[[#This Row],[Code]],Locaties[#All],6,FALSE)</f>
        <v>Oldenzaal</v>
      </c>
      <c r="F677" s="232"/>
      <c r="G677" s="187" t="s">
        <v>679</v>
      </c>
      <c r="H677" s="187" t="s">
        <v>793</v>
      </c>
      <c r="I677" s="232" t="s">
        <v>794</v>
      </c>
      <c r="J677" s="187">
        <v>14</v>
      </c>
      <c r="K677" s="187" t="str">
        <f>VLOOKUP(Ruimtestaat[[#This Row],[Ruimte code]],Ruimtegroepen[#All],2,FALSE)</f>
        <v>Praktijklokalen/kabinet</v>
      </c>
      <c r="L677" s="202" t="s">
        <v>108</v>
      </c>
      <c r="M677" s="187" t="s">
        <v>1206</v>
      </c>
      <c r="N677" s="200">
        <v>612</v>
      </c>
      <c r="O677" s="200"/>
      <c r="P677" s="231" t="str">
        <f>VLOOKUP(Ruimtestaat[[#This Row],[Ruimte code]],Ruimtegroepen[#All],4,FALSE)</f>
        <v>L  (Lesruimte)</v>
      </c>
      <c r="Q677" s="201"/>
      <c r="R677" s="202">
        <v>42</v>
      </c>
      <c r="S677" s="202" t="s">
        <v>2</v>
      </c>
      <c r="T677" s="202">
        <f>IF(R677&gt;0,IF(RIGHT(Ruimtestaat[[#This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77" s="202">
        <f>IF(T677&gt;0,VLOOKUP($J677,Ruimtegroepen[],3,FALSE)*VLOOKUP($L677,Vloersoorten[],3,FALSE)*VLOOKUP($S677,Frequenties[],3,FALSE)*VLOOKUP($A677,Locaties[],3,FALSE),0)</f>
        <v>0</v>
      </c>
      <c r="V677" s="202">
        <f>Ruimtestaat[[#This Row],[Uitvoeringen werkdagen]]*Ruimtestaat[[#This Row],[Oppervlak (netto)]]</f>
        <v>128520</v>
      </c>
      <c r="W677" s="242">
        <f>IF(U677&gt;0,Ruimtestaat[[#This Row],[Prest. (m2 /jaar) werkdagen]]/Ruimtestaat[[#This Row],[Norm (m2/uur) werkdagen]],0)</f>
        <v>0</v>
      </c>
      <c r="X677" s="243">
        <f>Ruimtestaat[[#This Row],[uren / jaar werkdagen]]*Tariefsopbouw!$D$38</f>
        <v>0</v>
      </c>
      <c r="Y677" s="33"/>
      <c r="Z677" s="33">
        <f>IF(Ruimtestaat[[#This Row],[Frequentie weekend]]&gt;0,VALUE(LEFT(Y677,1))*R677,0)</f>
        <v>0</v>
      </c>
      <c r="AA677" s="33">
        <f>IF($Z677&gt;0,VLOOKUP($J677,Ruimtegroepen[],3,FALSE)*VLOOKUP($L677,Vloersoorten[],3,FALSE)*VLOOKUP($Y677,Frequenties[],3,FALSE)*VLOOKUP(#REF!,Locaties[],3,FALSE),0)</f>
        <v>0</v>
      </c>
      <c r="AB677" s="33"/>
      <c r="AC677" s="33"/>
      <c r="AD677" s="33">
        <f>Ruimtestaat[[#This Row],[uren / jaar weekend]]*Tariefsopbouw!$D$40</f>
        <v>0</v>
      </c>
      <c r="AE677" s="86">
        <f>Ruimtestaat[[#This Row],[Prest. (m2 /jaar) weekend]]+Ruimtestaat[[#This Row],[Prest. (m2 /jaar) werkdagen]]</f>
        <v>128520</v>
      </c>
      <c r="AF677" s="86">
        <f>Ruimtestaat[[#This Row],[uren / jaar weekend]]+Ruimtestaat[[#This Row],[uren / jaar werkdagen]]</f>
        <v>0</v>
      </c>
      <c r="AG677" s="87">
        <f>Ruimtestaat[[#This Row],[kosten / jaar weekend]]+Ruimtestaat[[#This Row],[kosten / jaar werkdagen]]</f>
        <v>0</v>
      </c>
    </row>
    <row r="678" spans="1:33" ht="15" customHeight="1">
      <c r="A678" s="187">
        <v>5</v>
      </c>
      <c r="B678" s="21" t="str">
        <f>VLOOKUP(Ruimtestaat[[#This Row],[Code]],Locaties[#All],2,FALSE)</f>
        <v>Potskamp</v>
      </c>
      <c r="C678" s="231" t="str">
        <f>VLOOKUP(Ruimtestaat[[#This Row],[Code]],Locaties[#All],4,FALSE)</f>
        <v>Potskampstraat 2</v>
      </c>
      <c r="D678" s="231" t="str">
        <f>VLOOKUP(Ruimtestaat[[#This Row],[Code]],Locaties[#All],5,FALSE)</f>
        <v>7573 CC</v>
      </c>
      <c r="E678" s="187" t="str">
        <f>VLOOKUP(Ruimtestaat[[#This Row],[Code]],Locaties[#All],6,FALSE)</f>
        <v>Oldenzaal</v>
      </c>
      <c r="F678" s="232"/>
      <c r="G678" s="187" t="s">
        <v>679</v>
      </c>
      <c r="H678" s="187" t="s">
        <v>795</v>
      </c>
      <c r="I678" s="232" t="s">
        <v>794</v>
      </c>
      <c r="J678" s="187">
        <v>14</v>
      </c>
      <c r="K678" s="187" t="str">
        <f>VLOOKUP(Ruimtestaat[[#This Row],[Ruimte code]],Ruimtegroepen[#All],2,FALSE)</f>
        <v>Praktijklokalen/kabinet</v>
      </c>
      <c r="L678" s="202" t="s">
        <v>108</v>
      </c>
      <c r="M678" s="187" t="s">
        <v>1206</v>
      </c>
      <c r="N678" s="200">
        <v>372</v>
      </c>
      <c r="O678" s="200"/>
      <c r="P678" s="231" t="str">
        <f>VLOOKUP(Ruimtestaat[[#This Row],[Ruimte code]],Ruimtegroepen[#All],4,FALSE)</f>
        <v>L  (Lesruimte)</v>
      </c>
      <c r="Q678" s="201"/>
      <c r="R678" s="202">
        <v>42</v>
      </c>
      <c r="S678" s="202" t="s">
        <v>2</v>
      </c>
      <c r="T678" s="202">
        <f>IF(R678&gt;0,IF(RIGHT(Ruimtestaat[[#This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78" s="202">
        <f>IF(T678&gt;0,VLOOKUP($J678,Ruimtegroepen[],3,FALSE)*VLOOKUP($L678,Vloersoorten[],3,FALSE)*VLOOKUP($S678,Frequenties[],3,FALSE)*VLOOKUP($A678,Locaties[],3,FALSE),0)</f>
        <v>0</v>
      </c>
      <c r="V678" s="202">
        <f>Ruimtestaat[[#This Row],[Uitvoeringen werkdagen]]*Ruimtestaat[[#This Row],[Oppervlak (netto)]]</f>
        <v>78120</v>
      </c>
      <c r="W678" s="242">
        <f>IF(U678&gt;0,Ruimtestaat[[#This Row],[Prest. (m2 /jaar) werkdagen]]/Ruimtestaat[[#This Row],[Norm (m2/uur) werkdagen]],0)</f>
        <v>0</v>
      </c>
      <c r="X678" s="243">
        <f>Ruimtestaat[[#This Row],[uren / jaar werkdagen]]*Tariefsopbouw!$D$38</f>
        <v>0</v>
      </c>
      <c r="Y678" s="33"/>
      <c r="Z678" s="33">
        <f>IF(Ruimtestaat[[#This Row],[Frequentie weekend]]&gt;0,VALUE(LEFT(Y678,1))*R678,0)</f>
        <v>0</v>
      </c>
      <c r="AA678" s="33">
        <f>IF($Z678&gt;0,VLOOKUP($J678,Ruimtegroepen[],3,FALSE)*VLOOKUP($L678,Vloersoorten[],3,FALSE)*VLOOKUP($Y678,Frequenties[],3,FALSE)*VLOOKUP(#REF!,Locaties[],3,FALSE),0)</f>
        <v>0</v>
      </c>
      <c r="AB678" s="33"/>
      <c r="AC678" s="33"/>
      <c r="AD678" s="33">
        <f>Ruimtestaat[[#This Row],[uren / jaar weekend]]*Tariefsopbouw!$D$40</f>
        <v>0</v>
      </c>
      <c r="AE678" s="86">
        <f>Ruimtestaat[[#This Row],[Prest. (m2 /jaar) weekend]]+Ruimtestaat[[#This Row],[Prest. (m2 /jaar) werkdagen]]</f>
        <v>78120</v>
      </c>
      <c r="AF678" s="86">
        <f>Ruimtestaat[[#This Row],[uren / jaar weekend]]+Ruimtestaat[[#This Row],[uren / jaar werkdagen]]</f>
        <v>0</v>
      </c>
      <c r="AG678" s="87">
        <f>Ruimtestaat[[#This Row],[kosten / jaar weekend]]+Ruimtestaat[[#This Row],[kosten / jaar werkdagen]]</f>
        <v>0</v>
      </c>
    </row>
    <row r="679" spans="1:33" ht="15" customHeight="1">
      <c r="A679" s="187">
        <v>5</v>
      </c>
      <c r="B679" s="21" t="str">
        <f>VLOOKUP(Ruimtestaat[[#This Row],[Code]],Locaties[#All],2,FALSE)</f>
        <v>Potskamp</v>
      </c>
      <c r="C679" s="231" t="str">
        <f>VLOOKUP(Ruimtestaat[[#This Row],[Code]],Locaties[#All],4,FALSE)</f>
        <v>Potskampstraat 2</v>
      </c>
      <c r="D679" s="231" t="str">
        <f>VLOOKUP(Ruimtestaat[[#This Row],[Code]],Locaties[#All],5,FALSE)</f>
        <v>7573 CC</v>
      </c>
      <c r="E679" s="187" t="str">
        <f>VLOOKUP(Ruimtestaat[[#This Row],[Code]],Locaties[#All],6,FALSE)</f>
        <v>Oldenzaal</v>
      </c>
      <c r="F679" s="232"/>
      <c r="G679" s="187" t="s">
        <v>679</v>
      </c>
      <c r="H679" s="187"/>
      <c r="I679" s="232" t="s">
        <v>698</v>
      </c>
      <c r="J679" s="231">
        <v>5</v>
      </c>
      <c r="K679" s="231" t="str">
        <f>VLOOKUP(Ruimtestaat[[#This Row],[Ruimte code]],Ruimtegroepen[#All],2,FALSE)</f>
        <v>Sanitair</v>
      </c>
      <c r="L679" s="202" t="s">
        <v>108</v>
      </c>
      <c r="M679" s="187" t="s">
        <v>1201</v>
      </c>
      <c r="N679" s="200">
        <v>1.3</v>
      </c>
      <c r="O679" s="200"/>
      <c r="P679" s="231" t="str">
        <f>VLOOKUP(Ruimtestaat[[#This Row],[Ruimte code]],Ruimtegroepen[#All],4,FALSE)</f>
        <v>S  (Sanitair)</v>
      </c>
      <c r="Q679" s="201"/>
      <c r="R679" s="202">
        <v>42</v>
      </c>
      <c r="S679" s="202" t="s">
        <v>19</v>
      </c>
      <c r="T679" s="202">
        <f>IF(R679&gt;0,IF(RIGHT(Ruimtestaat[[#This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679" s="202">
        <f>IF(T679&gt;0,VLOOKUP($J679,Ruimtegroepen[],3,FALSE)*VLOOKUP($L679,Vloersoorten[],3,FALSE)*VLOOKUP($S679,Frequenties[],3,FALSE)*VLOOKUP($A679,Locaties[],3,FALSE),0)</f>
        <v>0</v>
      </c>
      <c r="V679" s="202">
        <f>Ruimtestaat[[#This Row],[Uitvoeringen werkdagen]]*Ruimtestaat[[#This Row],[Oppervlak (netto)]]</f>
        <v>546</v>
      </c>
      <c r="W679" s="242">
        <f>IF(U679&gt;0,Ruimtestaat[[#This Row],[Prest. (m2 /jaar) werkdagen]]/Ruimtestaat[[#This Row],[Norm (m2/uur) werkdagen]],0)</f>
        <v>0</v>
      </c>
      <c r="X679" s="243">
        <f>Ruimtestaat[[#This Row],[uren / jaar werkdagen]]*Tariefsopbouw!$D$38</f>
        <v>0</v>
      </c>
      <c r="Y679" s="33"/>
      <c r="Z679" s="33">
        <f>IF(Ruimtestaat[[#This Row],[Frequentie weekend]]&gt;0,VALUE(LEFT(Y679,1))*R679,0)</f>
        <v>0</v>
      </c>
      <c r="AA679" s="33">
        <f>IF($Z679&gt;0,VLOOKUP($J679,Ruimtegroepen[],3,FALSE)*VLOOKUP($L679,Vloersoorten[],3,FALSE)*VLOOKUP($Y679,Frequenties[],3,FALSE)*VLOOKUP(#REF!,Locaties[],3,FALSE),0)</f>
        <v>0</v>
      </c>
      <c r="AB679" s="33"/>
      <c r="AC679" s="33"/>
      <c r="AD679" s="33">
        <f>Ruimtestaat[[#This Row],[uren / jaar weekend]]*Tariefsopbouw!$D$40</f>
        <v>0</v>
      </c>
      <c r="AE679" s="86">
        <f>Ruimtestaat[[#This Row],[Prest. (m2 /jaar) weekend]]+Ruimtestaat[[#This Row],[Prest. (m2 /jaar) werkdagen]]</f>
        <v>546</v>
      </c>
      <c r="AF679" s="86">
        <f>Ruimtestaat[[#This Row],[uren / jaar weekend]]+Ruimtestaat[[#This Row],[uren / jaar werkdagen]]</f>
        <v>0</v>
      </c>
      <c r="AG679" s="87">
        <f>Ruimtestaat[[#This Row],[kosten / jaar weekend]]+Ruimtestaat[[#This Row],[kosten / jaar werkdagen]]</f>
        <v>0</v>
      </c>
    </row>
    <row r="680" spans="1:33" ht="15" customHeight="1">
      <c r="A680" s="187">
        <v>5</v>
      </c>
      <c r="B680" s="21" t="str">
        <f>VLOOKUP(Ruimtestaat[[#This Row],[Code]],Locaties[#All],2,FALSE)</f>
        <v>Potskamp</v>
      </c>
      <c r="C680" s="231" t="str">
        <f>VLOOKUP(Ruimtestaat[[#This Row],[Code]],Locaties[#All],4,FALSE)</f>
        <v>Potskampstraat 2</v>
      </c>
      <c r="D680" s="231" t="str">
        <f>VLOOKUP(Ruimtestaat[[#This Row],[Code]],Locaties[#All],5,FALSE)</f>
        <v>7573 CC</v>
      </c>
      <c r="E680" s="187" t="str">
        <f>VLOOKUP(Ruimtestaat[[#This Row],[Code]],Locaties[#All],6,FALSE)</f>
        <v>Oldenzaal</v>
      </c>
      <c r="F680" s="232"/>
      <c r="G680" s="187" t="s">
        <v>679</v>
      </c>
      <c r="H680" s="187"/>
      <c r="I680" s="232" t="s">
        <v>794</v>
      </c>
      <c r="J680" s="231">
        <v>14</v>
      </c>
      <c r="K680" s="231" t="str">
        <f>VLOOKUP(Ruimtestaat[[#This Row],[Ruimte code]],Ruimtegroepen[#All],2,FALSE)</f>
        <v>Praktijklokalen/kabinet</v>
      </c>
      <c r="L680" s="202" t="s">
        <v>108</v>
      </c>
      <c r="M680" s="187" t="s">
        <v>1206</v>
      </c>
      <c r="N680" s="200">
        <v>227.5</v>
      </c>
      <c r="O680" s="200"/>
      <c r="P680" s="231" t="str">
        <f>VLOOKUP(Ruimtestaat[[#This Row],[Ruimte code]],Ruimtegroepen[#All],4,FALSE)</f>
        <v>L  (Lesruimte)</v>
      </c>
      <c r="Q680" s="201"/>
      <c r="R680" s="202">
        <v>42</v>
      </c>
      <c r="S680" s="202" t="s">
        <v>2</v>
      </c>
      <c r="T680" s="202">
        <f>IF(R680&gt;0,IF(RIGHT(Ruimtestaat[[#This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80" s="202">
        <f>IF(T680&gt;0,VLOOKUP($J680,Ruimtegroepen[],3,FALSE)*VLOOKUP($L680,Vloersoorten[],3,FALSE)*VLOOKUP($S680,Frequenties[],3,FALSE)*VLOOKUP($A680,Locaties[],3,FALSE),0)</f>
        <v>0</v>
      </c>
      <c r="V680" s="202">
        <f>Ruimtestaat[[#This Row],[Uitvoeringen werkdagen]]*Ruimtestaat[[#This Row],[Oppervlak (netto)]]</f>
        <v>47775</v>
      </c>
      <c r="W680" s="242">
        <f>IF(U680&gt;0,Ruimtestaat[[#This Row],[Prest. (m2 /jaar) werkdagen]]/Ruimtestaat[[#This Row],[Norm (m2/uur) werkdagen]],0)</f>
        <v>0</v>
      </c>
      <c r="X680" s="243">
        <f>Ruimtestaat[[#This Row],[uren / jaar werkdagen]]*Tariefsopbouw!$D$38</f>
        <v>0</v>
      </c>
      <c r="Y680" s="33"/>
      <c r="Z680" s="33">
        <f>IF(Ruimtestaat[[#This Row],[Frequentie weekend]]&gt;0,VALUE(LEFT(Y680,1))*R680,0)</f>
        <v>0</v>
      </c>
      <c r="AA680" s="33">
        <f>IF($Z680&gt;0,VLOOKUP($J680,Ruimtegroepen[],3,FALSE)*VLOOKUP($L680,Vloersoorten[],3,FALSE)*VLOOKUP($Y680,Frequenties[],3,FALSE)*VLOOKUP(#REF!,Locaties[],3,FALSE),0)</f>
        <v>0</v>
      </c>
      <c r="AB680" s="33"/>
      <c r="AC680" s="33"/>
      <c r="AD680" s="33">
        <f>Ruimtestaat[[#This Row],[uren / jaar weekend]]*Tariefsopbouw!$D$40</f>
        <v>0</v>
      </c>
      <c r="AE680" s="86">
        <f>Ruimtestaat[[#This Row],[Prest. (m2 /jaar) weekend]]+Ruimtestaat[[#This Row],[Prest. (m2 /jaar) werkdagen]]</f>
        <v>47775</v>
      </c>
      <c r="AF680" s="86">
        <f>Ruimtestaat[[#This Row],[uren / jaar weekend]]+Ruimtestaat[[#This Row],[uren / jaar werkdagen]]</f>
        <v>0</v>
      </c>
      <c r="AG680" s="87">
        <f>Ruimtestaat[[#This Row],[kosten / jaar weekend]]+Ruimtestaat[[#This Row],[kosten / jaar werkdagen]]</f>
        <v>0</v>
      </c>
    </row>
    <row r="681" spans="1:33" ht="15" customHeight="1">
      <c r="A681" s="187">
        <v>5</v>
      </c>
      <c r="B681" s="21" t="str">
        <f>VLOOKUP(Ruimtestaat[[#This Row],[Code]],Locaties[#All],2,FALSE)</f>
        <v>Potskamp</v>
      </c>
      <c r="C681" s="231" t="str">
        <f>VLOOKUP(Ruimtestaat[[#This Row],[Code]],Locaties[#All],4,FALSE)</f>
        <v>Potskampstraat 2</v>
      </c>
      <c r="D681" s="231" t="str">
        <f>VLOOKUP(Ruimtestaat[[#This Row],[Code]],Locaties[#All],5,FALSE)</f>
        <v>7573 CC</v>
      </c>
      <c r="E681" s="187" t="str">
        <f>VLOOKUP(Ruimtestaat[[#This Row],[Code]],Locaties[#All],6,FALSE)</f>
        <v>Oldenzaal</v>
      </c>
      <c r="F681" s="232"/>
      <c r="G681" s="187" t="s">
        <v>679</v>
      </c>
      <c r="H681" s="187" t="s">
        <v>796</v>
      </c>
      <c r="I681" s="232" t="s">
        <v>794</v>
      </c>
      <c r="J681" s="187">
        <v>14</v>
      </c>
      <c r="K681" s="187" t="str">
        <f>VLOOKUP(Ruimtestaat[[#This Row],[Ruimte code]],Ruimtegroepen[#All],2,FALSE)</f>
        <v>Praktijklokalen/kabinet</v>
      </c>
      <c r="L681" s="202" t="s">
        <v>108</v>
      </c>
      <c r="M681" s="187" t="s">
        <v>1206</v>
      </c>
      <c r="N681" s="200">
        <v>566.72</v>
      </c>
      <c r="O681" s="200"/>
      <c r="P681" s="231" t="str">
        <f>VLOOKUP(Ruimtestaat[[#This Row],[Ruimte code]],Ruimtegroepen[#All],4,FALSE)</f>
        <v>L  (Lesruimte)</v>
      </c>
      <c r="Q681" s="201"/>
      <c r="R681" s="202">
        <v>42</v>
      </c>
      <c r="S681" s="202" t="s">
        <v>2</v>
      </c>
      <c r="T681" s="202">
        <f>IF(R681&gt;0,IF(RIGHT(Ruimtestaat[[#This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81" s="202">
        <f>IF(T681&gt;0,VLOOKUP($J681,Ruimtegroepen[],3,FALSE)*VLOOKUP($L681,Vloersoorten[],3,FALSE)*VLOOKUP($S681,Frequenties[],3,FALSE)*VLOOKUP($A681,Locaties[],3,FALSE),0)</f>
        <v>0</v>
      </c>
      <c r="V681" s="202">
        <f>Ruimtestaat[[#This Row],[Uitvoeringen werkdagen]]*Ruimtestaat[[#This Row],[Oppervlak (netto)]]</f>
        <v>119011.20000000001</v>
      </c>
      <c r="W681" s="242">
        <f>IF(U681&gt;0,Ruimtestaat[[#This Row],[Prest. (m2 /jaar) werkdagen]]/Ruimtestaat[[#This Row],[Norm (m2/uur) werkdagen]],0)</f>
        <v>0</v>
      </c>
      <c r="X681" s="243">
        <f>Ruimtestaat[[#This Row],[uren / jaar werkdagen]]*Tariefsopbouw!$D$38</f>
        <v>0</v>
      </c>
      <c r="Y681" s="33"/>
      <c r="Z681" s="33">
        <f>IF(Ruimtestaat[[#This Row],[Frequentie weekend]]&gt;0,VALUE(LEFT(Y681,1))*R681,0)</f>
        <v>0</v>
      </c>
      <c r="AA681" s="33">
        <f>IF($Z681&gt;0,VLOOKUP($J681,Ruimtegroepen[],3,FALSE)*VLOOKUP($L681,Vloersoorten[],3,FALSE)*VLOOKUP($Y681,Frequenties[],3,FALSE)*VLOOKUP(#REF!,Locaties[],3,FALSE),0)</f>
        <v>0</v>
      </c>
      <c r="AB681" s="33"/>
      <c r="AC681" s="33"/>
      <c r="AD681" s="33">
        <f>Ruimtestaat[[#This Row],[uren / jaar weekend]]*Tariefsopbouw!$D$40</f>
        <v>0</v>
      </c>
      <c r="AE681" s="86">
        <f>Ruimtestaat[[#This Row],[Prest. (m2 /jaar) weekend]]+Ruimtestaat[[#This Row],[Prest. (m2 /jaar) werkdagen]]</f>
        <v>119011.20000000001</v>
      </c>
      <c r="AF681" s="86">
        <f>Ruimtestaat[[#This Row],[uren / jaar weekend]]+Ruimtestaat[[#This Row],[uren / jaar werkdagen]]</f>
        <v>0</v>
      </c>
      <c r="AG681" s="87">
        <f>Ruimtestaat[[#This Row],[kosten / jaar weekend]]+Ruimtestaat[[#This Row],[kosten / jaar werkdagen]]</f>
        <v>0</v>
      </c>
    </row>
    <row r="682" spans="1:33" ht="15" customHeight="1">
      <c r="A682" s="187">
        <v>5</v>
      </c>
      <c r="B682" s="21" t="str">
        <f>VLOOKUP(Ruimtestaat[[#This Row],[Code]],Locaties[#All],2,FALSE)</f>
        <v>Potskamp</v>
      </c>
      <c r="C682" s="231" t="str">
        <f>VLOOKUP(Ruimtestaat[[#This Row],[Code]],Locaties[#All],4,FALSE)</f>
        <v>Potskampstraat 2</v>
      </c>
      <c r="D682" s="231" t="str">
        <f>VLOOKUP(Ruimtestaat[[#This Row],[Code]],Locaties[#All],5,FALSE)</f>
        <v>7573 CC</v>
      </c>
      <c r="E682" s="187" t="str">
        <f>VLOOKUP(Ruimtestaat[[#This Row],[Code]],Locaties[#All],6,FALSE)</f>
        <v>Oldenzaal</v>
      </c>
      <c r="F682" s="232"/>
      <c r="G682" s="187" t="s">
        <v>679</v>
      </c>
      <c r="H682" s="187"/>
      <c r="I682" s="232" t="s">
        <v>604</v>
      </c>
      <c r="J682" s="202">
        <v>16</v>
      </c>
      <c r="K682" s="202" t="str">
        <f>VLOOKUP(Ruimtestaat[[#This Row],[Ruimte code]],Ruimtegroepen[#All],2,FALSE)</f>
        <v>Leslokalen/computerlokaal</v>
      </c>
      <c r="L682" s="187" t="s">
        <v>109</v>
      </c>
      <c r="M682" s="187" t="s">
        <v>1203</v>
      </c>
      <c r="N682" s="200">
        <v>60</v>
      </c>
      <c r="O682" s="200"/>
      <c r="P682" s="231" t="str">
        <f>VLOOKUP(Ruimtestaat[[#This Row],[Ruimte code]],Ruimtegroepen[#All],4,FALSE)</f>
        <v>L  (Lesruimte)</v>
      </c>
      <c r="Q682" s="201"/>
      <c r="R682" s="202">
        <v>42</v>
      </c>
      <c r="S682" s="202" t="s">
        <v>2</v>
      </c>
      <c r="T682" s="202">
        <f>IF(R682&gt;0,IF(RIGHT(Ruimtestaat[[#This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82" s="202">
        <f>IF(T682&gt;0,VLOOKUP($J682,Ruimtegroepen[],3,FALSE)*VLOOKUP($L682,Vloersoorten[],3,FALSE)*VLOOKUP($S682,Frequenties[],3,FALSE)*VLOOKUP($A682,Locaties[],3,FALSE),0)</f>
        <v>0</v>
      </c>
      <c r="V682" s="202">
        <f>Ruimtestaat[[#This Row],[Uitvoeringen werkdagen]]*Ruimtestaat[[#This Row],[Oppervlak (netto)]]</f>
        <v>12600</v>
      </c>
      <c r="W682" s="242">
        <f>IF(U682&gt;0,Ruimtestaat[[#This Row],[Prest. (m2 /jaar) werkdagen]]/Ruimtestaat[[#This Row],[Norm (m2/uur) werkdagen]],0)</f>
        <v>0</v>
      </c>
      <c r="X682" s="243">
        <f>Ruimtestaat[[#This Row],[uren / jaar werkdagen]]*Tariefsopbouw!$D$38</f>
        <v>0</v>
      </c>
      <c r="Y682" s="33"/>
      <c r="Z682" s="33">
        <f>IF(Ruimtestaat[[#This Row],[Frequentie weekend]]&gt;0,VALUE(LEFT(Y682,1))*R682,0)</f>
        <v>0</v>
      </c>
      <c r="AA682" s="33">
        <f>IF($Z682&gt;0,VLOOKUP($J682,Ruimtegroepen[],3,FALSE)*VLOOKUP($L682,Vloersoorten[],3,FALSE)*VLOOKUP($Y682,Frequenties[],3,FALSE)*VLOOKUP(#REF!,Locaties[],3,FALSE),0)</f>
        <v>0</v>
      </c>
      <c r="AB682" s="33"/>
      <c r="AC682" s="33"/>
      <c r="AD682" s="33">
        <f>Ruimtestaat[[#This Row],[uren / jaar weekend]]*Tariefsopbouw!$D$40</f>
        <v>0</v>
      </c>
      <c r="AE682" s="86">
        <f>Ruimtestaat[[#This Row],[Prest. (m2 /jaar) weekend]]+Ruimtestaat[[#This Row],[Prest. (m2 /jaar) werkdagen]]</f>
        <v>12600</v>
      </c>
      <c r="AF682" s="86">
        <f>Ruimtestaat[[#This Row],[uren / jaar weekend]]+Ruimtestaat[[#This Row],[uren / jaar werkdagen]]</f>
        <v>0</v>
      </c>
      <c r="AG682" s="87">
        <f>Ruimtestaat[[#This Row],[kosten / jaar weekend]]+Ruimtestaat[[#This Row],[kosten / jaar werkdagen]]</f>
        <v>0</v>
      </c>
    </row>
    <row r="683" spans="1:33" ht="15" customHeight="1">
      <c r="A683" s="187">
        <v>5</v>
      </c>
      <c r="B683" s="21" t="str">
        <f>VLOOKUP(Ruimtestaat[[#This Row],[Code]],Locaties[#All],2,FALSE)</f>
        <v>Potskamp</v>
      </c>
      <c r="C683" s="231" t="str">
        <f>VLOOKUP(Ruimtestaat[[#This Row],[Code]],Locaties[#All],4,FALSE)</f>
        <v>Potskampstraat 2</v>
      </c>
      <c r="D683" s="231" t="str">
        <f>VLOOKUP(Ruimtestaat[[#This Row],[Code]],Locaties[#All],5,FALSE)</f>
        <v>7573 CC</v>
      </c>
      <c r="E683" s="187" t="str">
        <f>VLOOKUP(Ruimtestaat[[#This Row],[Code]],Locaties[#All],6,FALSE)</f>
        <v>Oldenzaal</v>
      </c>
      <c r="F683" s="232"/>
      <c r="G683" s="187" t="s">
        <v>679</v>
      </c>
      <c r="H683" s="187"/>
      <c r="I683" s="232" t="s">
        <v>604</v>
      </c>
      <c r="J683" s="187">
        <v>16</v>
      </c>
      <c r="K683" s="187" t="str">
        <f>VLOOKUP(Ruimtestaat[[#This Row],[Ruimte code]],Ruimtegroepen[#All],2,FALSE)</f>
        <v>Leslokalen/computerlokaal</v>
      </c>
      <c r="L683" s="187" t="s">
        <v>109</v>
      </c>
      <c r="M683" s="187" t="s">
        <v>1203</v>
      </c>
      <c r="N683" s="200">
        <v>60</v>
      </c>
      <c r="O683" s="200"/>
      <c r="P683" s="231" t="str">
        <f>VLOOKUP(Ruimtestaat[[#This Row],[Ruimte code]],Ruimtegroepen[#All],4,FALSE)</f>
        <v>L  (Lesruimte)</v>
      </c>
      <c r="Q683" s="201"/>
      <c r="R683" s="202">
        <v>42</v>
      </c>
      <c r="S683" s="202" t="s">
        <v>2</v>
      </c>
      <c r="T683" s="202">
        <f>IF(R683&gt;0,IF(RIGHT(Ruimtestaat[[#This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83" s="202">
        <f>IF(T683&gt;0,VLOOKUP($J683,Ruimtegroepen[],3,FALSE)*VLOOKUP($L683,Vloersoorten[],3,FALSE)*VLOOKUP($S683,Frequenties[],3,FALSE)*VLOOKUP($A683,Locaties[],3,FALSE),0)</f>
        <v>0</v>
      </c>
      <c r="V683" s="202">
        <f>Ruimtestaat[[#This Row],[Uitvoeringen werkdagen]]*Ruimtestaat[[#This Row],[Oppervlak (netto)]]</f>
        <v>12600</v>
      </c>
      <c r="W683" s="242">
        <f>IF(U683&gt;0,Ruimtestaat[[#This Row],[Prest. (m2 /jaar) werkdagen]]/Ruimtestaat[[#This Row],[Norm (m2/uur) werkdagen]],0)</f>
        <v>0</v>
      </c>
      <c r="X683" s="243">
        <f>Ruimtestaat[[#This Row],[uren / jaar werkdagen]]*Tariefsopbouw!$D$38</f>
        <v>0</v>
      </c>
      <c r="Y683" s="33"/>
      <c r="Z683" s="33">
        <f>IF(Ruimtestaat[[#This Row],[Frequentie weekend]]&gt;0,VALUE(LEFT(Y683,1))*R683,0)</f>
        <v>0</v>
      </c>
      <c r="AA683" s="33">
        <f>IF($Z683&gt;0,VLOOKUP($J683,Ruimtegroepen[],3,FALSE)*VLOOKUP($L683,Vloersoorten[],3,FALSE)*VLOOKUP($Y683,Frequenties[],3,FALSE)*VLOOKUP(#REF!,Locaties[],3,FALSE),0)</f>
        <v>0</v>
      </c>
      <c r="AB683" s="33"/>
      <c r="AC683" s="33"/>
      <c r="AD683" s="33">
        <f>Ruimtestaat[[#This Row],[uren / jaar weekend]]*Tariefsopbouw!$D$40</f>
        <v>0</v>
      </c>
      <c r="AE683" s="86">
        <f>Ruimtestaat[[#This Row],[Prest. (m2 /jaar) weekend]]+Ruimtestaat[[#This Row],[Prest. (m2 /jaar) werkdagen]]</f>
        <v>12600</v>
      </c>
      <c r="AF683" s="86">
        <f>Ruimtestaat[[#This Row],[uren / jaar weekend]]+Ruimtestaat[[#This Row],[uren / jaar werkdagen]]</f>
        <v>0</v>
      </c>
      <c r="AG683" s="87">
        <f>Ruimtestaat[[#This Row],[kosten / jaar weekend]]+Ruimtestaat[[#This Row],[kosten / jaar werkdagen]]</f>
        <v>0</v>
      </c>
    </row>
    <row r="684" spans="1:33" ht="15" customHeight="1">
      <c r="A684" s="187">
        <v>5</v>
      </c>
      <c r="B684" s="21" t="str">
        <f>VLOOKUP(Ruimtestaat[[#This Row],[Code]],Locaties[#All],2,FALSE)</f>
        <v>Potskamp</v>
      </c>
      <c r="C684" s="231" t="str">
        <f>VLOOKUP(Ruimtestaat[[#This Row],[Code]],Locaties[#All],4,FALSE)</f>
        <v>Potskampstraat 2</v>
      </c>
      <c r="D684" s="231" t="str">
        <f>VLOOKUP(Ruimtestaat[[#This Row],[Code]],Locaties[#All],5,FALSE)</f>
        <v>7573 CC</v>
      </c>
      <c r="E684" s="187" t="str">
        <f>VLOOKUP(Ruimtestaat[[#This Row],[Code]],Locaties[#All],6,FALSE)</f>
        <v>Oldenzaal</v>
      </c>
      <c r="F684" s="232"/>
      <c r="G684" s="187" t="s">
        <v>679</v>
      </c>
      <c r="H684" s="187"/>
      <c r="I684" s="232" t="s">
        <v>794</v>
      </c>
      <c r="J684" s="187">
        <v>14</v>
      </c>
      <c r="K684" s="187" t="str">
        <f>VLOOKUP(Ruimtestaat[[#This Row],[Ruimte code]],Ruimtegroepen[#All],2,FALSE)</f>
        <v>Praktijklokalen/kabinet</v>
      </c>
      <c r="L684" s="202" t="s">
        <v>108</v>
      </c>
      <c r="M684" s="187" t="s">
        <v>1206</v>
      </c>
      <c r="N684" s="200">
        <v>406</v>
      </c>
      <c r="O684" s="200"/>
      <c r="P684" s="231" t="str">
        <f>VLOOKUP(Ruimtestaat[[#This Row],[Ruimte code]],Ruimtegroepen[#All],4,FALSE)</f>
        <v>L  (Lesruimte)</v>
      </c>
      <c r="Q684" s="201"/>
      <c r="R684" s="202">
        <v>42</v>
      </c>
      <c r="S684" s="202" t="s">
        <v>2</v>
      </c>
      <c r="T684" s="202">
        <f>IF(R684&gt;0,IF(RIGHT(Ruimtestaat[[#This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84" s="202">
        <f>IF(T684&gt;0,VLOOKUP($J684,Ruimtegroepen[],3,FALSE)*VLOOKUP($L684,Vloersoorten[],3,FALSE)*VLOOKUP($S684,Frequenties[],3,FALSE)*VLOOKUP($A684,Locaties[],3,FALSE),0)</f>
        <v>0</v>
      </c>
      <c r="V684" s="202">
        <f>Ruimtestaat[[#This Row],[Uitvoeringen werkdagen]]*Ruimtestaat[[#This Row],[Oppervlak (netto)]]</f>
        <v>85260</v>
      </c>
      <c r="W684" s="242">
        <f>IF(U684&gt;0,Ruimtestaat[[#This Row],[Prest. (m2 /jaar) werkdagen]]/Ruimtestaat[[#This Row],[Norm (m2/uur) werkdagen]],0)</f>
        <v>0</v>
      </c>
      <c r="X684" s="243">
        <f>Ruimtestaat[[#This Row],[uren / jaar werkdagen]]*Tariefsopbouw!$D$38</f>
        <v>0</v>
      </c>
      <c r="Y684" s="33"/>
      <c r="Z684" s="33">
        <f>IF(Ruimtestaat[[#This Row],[Frequentie weekend]]&gt;0,VALUE(LEFT(Y684,1))*R684,0)</f>
        <v>0</v>
      </c>
      <c r="AA684" s="33">
        <f>IF($Z684&gt;0,VLOOKUP($J684,Ruimtegroepen[],3,FALSE)*VLOOKUP($L684,Vloersoorten[],3,FALSE)*VLOOKUP($Y684,Frequenties[],3,FALSE)*VLOOKUP(#REF!,Locaties[],3,FALSE),0)</f>
        <v>0</v>
      </c>
      <c r="AB684" s="33"/>
      <c r="AC684" s="33"/>
      <c r="AD684" s="33">
        <f>Ruimtestaat[[#This Row],[uren / jaar weekend]]*Tariefsopbouw!$D$40</f>
        <v>0</v>
      </c>
      <c r="AE684" s="86">
        <f>Ruimtestaat[[#This Row],[Prest. (m2 /jaar) weekend]]+Ruimtestaat[[#This Row],[Prest. (m2 /jaar) werkdagen]]</f>
        <v>85260</v>
      </c>
      <c r="AF684" s="86">
        <f>Ruimtestaat[[#This Row],[uren / jaar weekend]]+Ruimtestaat[[#This Row],[uren / jaar werkdagen]]</f>
        <v>0</v>
      </c>
      <c r="AG684" s="87">
        <f>Ruimtestaat[[#This Row],[kosten / jaar weekend]]+Ruimtestaat[[#This Row],[kosten / jaar werkdagen]]</f>
        <v>0</v>
      </c>
    </row>
    <row r="685" spans="1:33" ht="15" customHeight="1">
      <c r="A685" s="187">
        <v>5</v>
      </c>
      <c r="B685" s="21" t="str">
        <f>VLOOKUP(Ruimtestaat[[#This Row],[Code]],Locaties[#All],2,FALSE)</f>
        <v>Potskamp</v>
      </c>
      <c r="C685" s="231" t="str">
        <f>VLOOKUP(Ruimtestaat[[#This Row],[Code]],Locaties[#All],4,FALSE)</f>
        <v>Potskampstraat 2</v>
      </c>
      <c r="D685" s="231" t="str">
        <f>VLOOKUP(Ruimtestaat[[#This Row],[Code]],Locaties[#All],5,FALSE)</f>
        <v>7573 CC</v>
      </c>
      <c r="E685" s="187" t="str">
        <f>VLOOKUP(Ruimtestaat[[#This Row],[Code]],Locaties[#All],6,FALSE)</f>
        <v>Oldenzaal</v>
      </c>
      <c r="F685" s="232"/>
      <c r="G685" s="187" t="s">
        <v>679</v>
      </c>
      <c r="H685" s="187"/>
      <c r="I685" s="232" t="s">
        <v>604</v>
      </c>
      <c r="J685" s="231">
        <v>16</v>
      </c>
      <c r="K685" s="231" t="str">
        <f>VLOOKUP(Ruimtestaat[[#This Row],[Ruimte code]],Ruimtegroepen[#All],2,FALSE)</f>
        <v>Leslokalen/computerlokaal</v>
      </c>
      <c r="L685" s="187" t="s">
        <v>109</v>
      </c>
      <c r="M685" s="187" t="s">
        <v>1203</v>
      </c>
      <c r="N685" s="200">
        <v>68</v>
      </c>
      <c r="O685" s="200"/>
      <c r="P685" s="231" t="str">
        <f>VLOOKUP(Ruimtestaat[[#This Row],[Ruimte code]],Ruimtegroepen[#All],4,FALSE)</f>
        <v>L  (Lesruimte)</v>
      </c>
      <c r="Q685" s="201"/>
      <c r="R685" s="202">
        <v>42</v>
      </c>
      <c r="S685" s="202" t="s">
        <v>2</v>
      </c>
      <c r="T685" s="202">
        <f>IF(R685&gt;0,IF(RIGHT(Ruimtestaat[[#This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85" s="202">
        <f>IF(T685&gt;0,VLOOKUP($J685,Ruimtegroepen[],3,FALSE)*VLOOKUP($L685,Vloersoorten[],3,FALSE)*VLOOKUP($S685,Frequenties[],3,FALSE)*VLOOKUP($A685,Locaties[],3,FALSE),0)</f>
        <v>0</v>
      </c>
      <c r="V685" s="202">
        <f>Ruimtestaat[[#This Row],[Uitvoeringen werkdagen]]*Ruimtestaat[[#This Row],[Oppervlak (netto)]]</f>
        <v>14280</v>
      </c>
      <c r="W685" s="242">
        <f>IF(U685&gt;0,Ruimtestaat[[#This Row],[Prest. (m2 /jaar) werkdagen]]/Ruimtestaat[[#This Row],[Norm (m2/uur) werkdagen]],0)</f>
        <v>0</v>
      </c>
      <c r="X685" s="243">
        <f>Ruimtestaat[[#This Row],[uren / jaar werkdagen]]*Tariefsopbouw!$D$38</f>
        <v>0</v>
      </c>
      <c r="Y685" s="33"/>
      <c r="Z685" s="33">
        <f>IF(Ruimtestaat[[#This Row],[Frequentie weekend]]&gt;0,VALUE(LEFT(Y685,1))*R685,0)</f>
        <v>0</v>
      </c>
      <c r="AA685" s="33">
        <f>IF($Z685&gt;0,VLOOKUP($J685,Ruimtegroepen[],3,FALSE)*VLOOKUP($L685,Vloersoorten[],3,FALSE)*VLOOKUP($Y685,Frequenties[],3,FALSE)*VLOOKUP(#REF!,Locaties[],3,FALSE),0)</f>
        <v>0</v>
      </c>
      <c r="AB685" s="33"/>
      <c r="AC685" s="33"/>
      <c r="AD685" s="33">
        <f>Ruimtestaat[[#This Row],[uren / jaar weekend]]*Tariefsopbouw!$D$40</f>
        <v>0</v>
      </c>
      <c r="AE685" s="86">
        <f>Ruimtestaat[[#This Row],[Prest. (m2 /jaar) weekend]]+Ruimtestaat[[#This Row],[Prest. (m2 /jaar) werkdagen]]</f>
        <v>14280</v>
      </c>
      <c r="AF685" s="86">
        <f>Ruimtestaat[[#This Row],[uren / jaar weekend]]+Ruimtestaat[[#This Row],[uren / jaar werkdagen]]</f>
        <v>0</v>
      </c>
      <c r="AG685" s="87">
        <f>Ruimtestaat[[#This Row],[kosten / jaar weekend]]+Ruimtestaat[[#This Row],[kosten / jaar werkdagen]]</f>
        <v>0</v>
      </c>
    </row>
    <row r="686" spans="1:33" ht="15" customHeight="1">
      <c r="A686" s="187">
        <v>5</v>
      </c>
      <c r="B686" s="21" t="str">
        <f>VLOOKUP(Ruimtestaat[[#This Row],[Code]],Locaties[#All],2,FALSE)</f>
        <v>Potskamp</v>
      </c>
      <c r="C686" s="231" t="str">
        <f>VLOOKUP(Ruimtestaat[[#This Row],[Code]],Locaties[#All],4,FALSE)</f>
        <v>Potskampstraat 2</v>
      </c>
      <c r="D686" s="231" t="str">
        <f>VLOOKUP(Ruimtestaat[[#This Row],[Code]],Locaties[#All],5,FALSE)</f>
        <v>7573 CC</v>
      </c>
      <c r="E686" s="187" t="str">
        <f>VLOOKUP(Ruimtestaat[[#This Row],[Code]],Locaties[#All],6,FALSE)</f>
        <v>Oldenzaal</v>
      </c>
      <c r="F686" s="232"/>
      <c r="G686" s="187" t="s">
        <v>679</v>
      </c>
      <c r="H686" s="187"/>
      <c r="I686" s="232" t="s">
        <v>797</v>
      </c>
      <c r="J686" s="187">
        <v>2</v>
      </c>
      <c r="K686" s="187" t="str">
        <f>VLOOKUP(Ruimtestaat[[#This Row],[Ruimte code]],Ruimtegroepen[#All],2,FALSE)</f>
        <v>Kantoren/kantoortuin</v>
      </c>
      <c r="L686" s="187" t="s">
        <v>109</v>
      </c>
      <c r="M686" s="187" t="s">
        <v>1203</v>
      </c>
      <c r="N686" s="200">
        <v>16</v>
      </c>
      <c r="O686" s="200"/>
      <c r="P686" s="231" t="str">
        <f>VLOOKUP(Ruimtestaat[[#This Row],[Ruimte code]],Ruimtegroepen[#All],4,FALSE)</f>
        <v>B  (Bureauruimte)</v>
      </c>
      <c r="Q686" s="201"/>
      <c r="R686" s="202">
        <v>42</v>
      </c>
      <c r="S686" s="202" t="s">
        <v>2</v>
      </c>
      <c r="T686" s="202">
        <f>IF(R686&gt;0,IF(RIGHT(Ruimtestaat[[#This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86" s="202">
        <f>IF(T686&gt;0,VLOOKUP($J686,Ruimtegroepen[],3,FALSE)*VLOOKUP($L686,Vloersoorten[],3,FALSE)*VLOOKUP($S686,Frequenties[],3,FALSE)*VLOOKUP($A686,Locaties[],3,FALSE),0)</f>
        <v>0</v>
      </c>
      <c r="V686" s="202">
        <f>Ruimtestaat[[#This Row],[Uitvoeringen werkdagen]]*Ruimtestaat[[#This Row],[Oppervlak (netto)]]</f>
        <v>3360</v>
      </c>
      <c r="W686" s="242">
        <f>IF(U686&gt;0,Ruimtestaat[[#This Row],[Prest. (m2 /jaar) werkdagen]]/Ruimtestaat[[#This Row],[Norm (m2/uur) werkdagen]],0)</f>
        <v>0</v>
      </c>
      <c r="X686" s="243">
        <f>Ruimtestaat[[#This Row],[uren / jaar werkdagen]]*Tariefsopbouw!$D$38</f>
        <v>0</v>
      </c>
      <c r="Y686" s="33"/>
      <c r="Z686" s="33">
        <f>IF(Ruimtestaat[[#This Row],[Frequentie weekend]]&gt;0,VALUE(LEFT(Y686,1))*R686,0)</f>
        <v>0</v>
      </c>
      <c r="AA686" s="33">
        <f>IF($Z686&gt;0,VLOOKUP($J686,Ruimtegroepen[],3,FALSE)*VLOOKUP($L686,Vloersoorten[],3,FALSE)*VLOOKUP($Y686,Frequenties[],3,FALSE)*VLOOKUP(#REF!,Locaties[],3,FALSE),0)</f>
        <v>0</v>
      </c>
      <c r="AB686" s="33"/>
      <c r="AC686" s="33"/>
      <c r="AD686" s="33">
        <f>Ruimtestaat[[#This Row],[uren / jaar weekend]]*Tariefsopbouw!$D$40</f>
        <v>0</v>
      </c>
      <c r="AE686" s="86">
        <f>Ruimtestaat[[#This Row],[Prest. (m2 /jaar) weekend]]+Ruimtestaat[[#This Row],[Prest. (m2 /jaar) werkdagen]]</f>
        <v>3360</v>
      </c>
      <c r="AF686" s="86">
        <f>Ruimtestaat[[#This Row],[uren / jaar weekend]]+Ruimtestaat[[#This Row],[uren / jaar werkdagen]]</f>
        <v>0</v>
      </c>
      <c r="AG686" s="87">
        <f>Ruimtestaat[[#This Row],[kosten / jaar weekend]]+Ruimtestaat[[#This Row],[kosten / jaar werkdagen]]</f>
        <v>0</v>
      </c>
    </row>
    <row r="687" spans="1:33" ht="15" customHeight="1">
      <c r="A687" s="187">
        <v>5</v>
      </c>
      <c r="B687" s="21" t="str">
        <f>VLOOKUP(Ruimtestaat[[#This Row],[Code]],Locaties[#All],2,FALSE)</f>
        <v>Potskamp</v>
      </c>
      <c r="C687" s="231" t="str">
        <f>VLOOKUP(Ruimtestaat[[#This Row],[Code]],Locaties[#All],4,FALSE)</f>
        <v>Potskampstraat 2</v>
      </c>
      <c r="D687" s="231" t="str">
        <f>VLOOKUP(Ruimtestaat[[#This Row],[Code]],Locaties[#All],5,FALSE)</f>
        <v>7573 CC</v>
      </c>
      <c r="E687" s="187" t="str">
        <f>VLOOKUP(Ruimtestaat[[#This Row],[Code]],Locaties[#All],6,FALSE)</f>
        <v>Oldenzaal</v>
      </c>
      <c r="F687" s="232"/>
      <c r="G687" s="187" t="s">
        <v>679</v>
      </c>
      <c r="H687" s="187" t="s">
        <v>1285</v>
      </c>
      <c r="I687" s="232" t="s">
        <v>794</v>
      </c>
      <c r="J687" s="187">
        <v>14</v>
      </c>
      <c r="K687" s="187" t="str">
        <f>VLOOKUP(Ruimtestaat[[#This Row],[Ruimte code]],Ruimtegroepen[#All],2,FALSE)</f>
        <v>Praktijklokalen/kabinet</v>
      </c>
      <c r="L687" s="202" t="s">
        <v>108</v>
      </c>
      <c r="M687" s="187" t="s">
        <v>1206</v>
      </c>
      <c r="N687" s="200">
        <v>400</v>
      </c>
      <c r="O687" s="200"/>
      <c r="P687" s="231" t="str">
        <f>VLOOKUP(Ruimtestaat[[#This Row],[Ruimte code]],Ruimtegroepen[#All],4,FALSE)</f>
        <v>L  (Lesruimte)</v>
      </c>
      <c r="Q687" s="201"/>
      <c r="R687" s="202">
        <v>42</v>
      </c>
      <c r="S687" s="202" t="s">
        <v>2</v>
      </c>
      <c r="T687" s="202">
        <f>IF(R687&gt;0,IF(RIGHT(Ruimtestaat[[#This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87" s="202">
        <f>IF(T687&gt;0,VLOOKUP($J687,Ruimtegroepen[],3,FALSE)*VLOOKUP($L687,Vloersoorten[],3,FALSE)*VLOOKUP($S687,Frequenties[],3,FALSE)*VLOOKUP($A687,Locaties[],3,FALSE),0)</f>
        <v>0</v>
      </c>
      <c r="V687" s="202">
        <f>Ruimtestaat[[#This Row],[Uitvoeringen werkdagen]]*Ruimtestaat[[#This Row],[Oppervlak (netto)]]</f>
        <v>84000</v>
      </c>
      <c r="W687" s="242">
        <f>IF(U687&gt;0,Ruimtestaat[[#This Row],[Prest. (m2 /jaar) werkdagen]]/Ruimtestaat[[#This Row],[Norm (m2/uur) werkdagen]],0)</f>
        <v>0</v>
      </c>
      <c r="X687" s="243">
        <f>Ruimtestaat[[#This Row],[uren / jaar werkdagen]]*Tariefsopbouw!$D$38</f>
        <v>0</v>
      </c>
      <c r="Y687" s="33"/>
      <c r="Z687" s="33">
        <f>IF(Ruimtestaat[[#This Row],[Frequentie weekend]]&gt;0,VALUE(LEFT(Y687,1))*R687,0)</f>
        <v>0</v>
      </c>
      <c r="AA687" s="33">
        <f>IF($Z687&gt;0,VLOOKUP($J687,Ruimtegroepen[],3,FALSE)*VLOOKUP($L687,Vloersoorten[],3,FALSE)*VLOOKUP($Y687,Frequenties[],3,FALSE)*VLOOKUP(#REF!,Locaties[],3,FALSE),0)</f>
        <v>0</v>
      </c>
      <c r="AB687" s="33"/>
      <c r="AC687" s="33"/>
      <c r="AD687" s="33">
        <f>Ruimtestaat[[#This Row],[uren / jaar weekend]]*Tariefsopbouw!$D$40</f>
        <v>0</v>
      </c>
      <c r="AE687" s="86">
        <f>Ruimtestaat[[#This Row],[Prest. (m2 /jaar) weekend]]+Ruimtestaat[[#This Row],[Prest. (m2 /jaar) werkdagen]]</f>
        <v>84000</v>
      </c>
      <c r="AF687" s="86">
        <f>Ruimtestaat[[#This Row],[uren / jaar weekend]]+Ruimtestaat[[#This Row],[uren / jaar werkdagen]]</f>
        <v>0</v>
      </c>
      <c r="AG687" s="87">
        <f>Ruimtestaat[[#This Row],[kosten / jaar weekend]]+Ruimtestaat[[#This Row],[kosten / jaar werkdagen]]</f>
        <v>0</v>
      </c>
    </row>
    <row r="688" spans="1:33" ht="15" customHeight="1">
      <c r="A688" s="187">
        <v>5</v>
      </c>
      <c r="B688" s="21" t="str">
        <f>VLOOKUP(Ruimtestaat[[#This Row],[Code]],Locaties[#All],2,FALSE)</f>
        <v>Potskamp</v>
      </c>
      <c r="C688" s="231" t="str">
        <f>VLOOKUP(Ruimtestaat[[#This Row],[Code]],Locaties[#All],4,FALSE)</f>
        <v>Potskampstraat 2</v>
      </c>
      <c r="D688" s="231" t="str">
        <f>VLOOKUP(Ruimtestaat[[#This Row],[Code]],Locaties[#All],5,FALSE)</f>
        <v>7573 CC</v>
      </c>
      <c r="E688" s="187" t="str">
        <f>VLOOKUP(Ruimtestaat[[#This Row],[Code]],Locaties[#All],6,FALSE)</f>
        <v>Oldenzaal</v>
      </c>
      <c r="F688" s="232"/>
      <c r="G688" s="187" t="s">
        <v>679</v>
      </c>
      <c r="H688" s="187"/>
      <c r="I688" s="232" t="s">
        <v>604</v>
      </c>
      <c r="J688" s="187">
        <v>16</v>
      </c>
      <c r="K688" s="187" t="str">
        <f>VLOOKUP(Ruimtestaat[[#This Row],[Ruimte code]],Ruimtegroepen[#All],2,FALSE)</f>
        <v>Leslokalen/computerlokaal</v>
      </c>
      <c r="L688" s="202" t="s">
        <v>108</v>
      </c>
      <c r="M688" s="187" t="s">
        <v>1206</v>
      </c>
      <c r="N688" s="200">
        <v>68</v>
      </c>
      <c r="O688" s="200"/>
      <c r="P688" s="231" t="str">
        <f>VLOOKUP(Ruimtestaat[[#This Row],[Ruimte code]],Ruimtegroepen[#All],4,FALSE)</f>
        <v>L  (Lesruimte)</v>
      </c>
      <c r="Q688" s="201"/>
      <c r="R688" s="202">
        <v>42</v>
      </c>
      <c r="S688" s="202" t="s">
        <v>2</v>
      </c>
      <c r="T688" s="202">
        <f>IF(R688&gt;0,IF(RIGHT(Ruimtestaat[[#This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88" s="202">
        <f>IF(T688&gt;0,VLOOKUP($J688,Ruimtegroepen[],3,FALSE)*VLOOKUP($L688,Vloersoorten[],3,FALSE)*VLOOKUP($S688,Frequenties[],3,FALSE)*VLOOKUP($A688,Locaties[],3,FALSE),0)</f>
        <v>0</v>
      </c>
      <c r="V688" s="202">
        <f>Ruimtestaat[[#This Row],[Uitvoeringen werkdagen]]*Ruimtestaat[[#This Row],[Oppervlak (netto)]]</f>
        <v>14280</v>
      </c>
      <c r="W688" s="242">
        <f>IF(U688&gt;0,Ruimtestaat[[#This Row],[Prest. (m2 /jaar) werkdagen]]/Ruimtestaat[[#This Row],[Norm (m2/uur) werkdagen]],0)</f>
        <v>0</v>
      </c>
      <c r="X688" s="243">
        <f>Ruimtestaat[[#This Row],[uren / jaar werkdagen]]*Tariefsopbouw!$D$38</f>
        <v>0</v>
      </c>
      <c r="Y688" s="33"/>
      <c r="Z688" s="33">
        <f>IF(Ruimtestaat[[#This Row],[Frequentie weekend]]&gt;0,VALUE(LEFT(Y688,1))*R688,0)</f>
        <v>0</v>
      </c>
      <c r="AA688" s="33">
        <f>IF($Z688&gt;0,VLOOKUP($J688,Ruimtegroepen[],3,FALSE)*VLOOKUP($L688,Vloersoorten[],3,FALSE)*VLOOKUP($Y688,Frequenties[],3,FALSE)*VLOOKUP(#REF!,Locaties[],3,FALSE),0)</f>
        <v>0</v>
      </c>
      <c r="AB688" s="33"/>
      <c r="AC688" s="33"/>
      <c r="AD688" s="33">
        <f>Ruimtestaat[[#This Row],[uren / jaar weekend]]*Tariefsopbouw!$D$40</f>
        <v>0</v>
      </c>
      <c r="AE688" s="86">
        <f>Ruimtestaat[[#This Row],[Prest. (m2 /jaar) weekend]]+Ruimtestaat[[#This Row],[Prest. (m2 /jaar) werkdagen]]</f>
        <v>14280</v>
      </c>
      <c r="AF688" s="86">
        <f>Ruimtestaat[[#This Row],[uren / jaar weekend]]+Ruimtestaat[[#This Row],[uren / jaar werkdagen]]</f>
        <v>0</v>
      </c>
      <c r="AG688" s="87">
        <f>Ruimtestaat[[#This Row],[kosten / jaar weekend]]+Ruimtestaat[[#This Row],[kosten / jaar werkdagen]]</f>
        <v>0</v>
      </c>
    </row>
    <row r="689" spans="1:33" ht="15" customHeight="1">
      <c r="A689" s="187">
        <v>5</v>
      </c>
      <c r="B689" s="21" t="str">
        <f>VLOOKUP(Ruimtestaat[[#This Row],[Code]],Locaties[#All],2,FALSE)</f>
        <v>Potskamp</v>
      </c>
      <c r="C689" s="231" t="str">
        <f>VLOOKUP(Ruimtestaat[[#This Row],[Code]],Locaties[#All],4,FALSE)</f>
        <v>Potskampstraat 2</v>
      </c>
      <c r="D689" s="231" t="str">
        <f>VLOOKUP(Ruimtestaat[[#This Row],[Code]],Locaties[#All],5,FALSE)</f>
        <v>7573 CC</v>
      </c>
      <c r="E689" s="187" t="str">
        <f>VLOOKUP(Ruimtestaat[[#This Row],[Code]],Locaties[#All],6,FALSE)</f>
        <v>Oldenzaal</v>
      </c>
      <c r="F689" s="232"/>
      <c r="G689" s="187" t="s">
        <v>679</v>
      </c>
      <c r="H689" s="187"/>
      <c r="I689" s="232" t="s">
        <v>794</v>
      </c>
      <c r="J689" s="231">
        <v>14</v>
      </c>
      <c r="K689" s="231" t="str">
        <f>VLOOKUP(Ruimtestaat[[#This Row],[Ruimte code]],Ruimtegroepen[#All],2,FALSE)</f>
        <v>Praktijklokalen/kabinet</v>
      </c>
      <c r="L689" s="202" t="s">
        <v>108</v>
      </c>
      <c r="M689" s="187" t="s">
        <v>1206</v>
      </c>
      <c r="N689" s="200">
        <v>104</v>
      </c>
      <c r="O689" s="200"/>
      <c r="P689" s="231" t="str">
        <f>VLOOKUP(Ruimtestaat[[#This Row],[Ruimte code]],Ruimtegroepen[#All],4,FALSE)</f>
        <v>L  (Lesruimte)</v>
      </c>
      <c r="Q689" s="201"/>
      <c r="R689" s="202">
        <v>42</v>
      </c>
      <c r="S689" s="202" t="s">
        <v>2</v>
      </c>
      <c r="T689" s="202">
        <f>IF(R689&gt;0,IF(RIGHT(Ruimtestaat[[#This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89" s="202">
        <f>IF(T689&gt;0,VLOOKUP($J689,Ruimtegroepen[],3,FALSE)*VLOOKUP($L689,Vloersoorten[],3,FALSE)*VLOOKUP($S689,Frequenties[],3,FALSE)*VLOOKUP($A689,Locaties[],3,FALSE),0)</f>
        <v>0</v>
      </c>
      <c r="V689" s="202">
        <f>Ruimtestaat[[#This Row],[Uitvoeringen werkdagen]]*Ruimtestaat[[#This Row],[Oppervlak (netto)]]</f>
        <v>21840</v>
      </c>
      <c r="W689" s="242">
        <f>IF(U689&gt;0,Ruimtestaat[[#This Row],[Prest. (m2 /jaar) werkdagen]]/Ruimtestaat[[#This Row],[Norm (m2/uur) werkdagen]],0)</f>
        <v>0</v>
      </c>
      <c r="X689" s="243">
        <f>Ruimtestaat[[#This Row],[uren / jaar werkdagen]]*Tariefsopbouw!$D$38</f>
        <v>0</v>
      </c>
      <c r="Y689" s="33"/>
      <c r="Z689" s="33">
        <f>IF(Ruimtestaat[[#This Row],[Frequentie weekend]]&gt;0,VALUE(LEFT(Y689,1))*R689,0)</f>
        <v>0</v>
      </c>
      <c r="AA689" s="33">
        <f>IF($Z689&gt;0,VLOOKUP($J689,Ruimtegroepen[],3,FALSE)*VLOOKUP($L689,Vloersoorten[],3,FALSE)*VLOOKUP($Y689,Frequenties[],3,FALSE)*VLOOKUP(#REF!,Locaties[],3,FALSE),0)</f>
        <v>0</v>
      </c>
      <c r="AB689" s="33"/>
      <c r="AC689" s="33"/>
      <c r="AD689" s="33">
        <f>Ruimtestaat[[#This Row],[uren / jaar weekend]]*Tariefsopbouw!$D$40</f>
        <v>0</v>
      </c>
      <c r="AE689" s="86">
        <f>Ruimtestaat[[#This Row],[Prest. (m2 /jaar) weekend]]+Ruimtestaat[[#This Row],[Prest. (m2 /jaar) werkdagen]]</f>
        <v>21840</v>
      </c>
      <c r="AF689" s="86">
        <f>Ruimtestaat[[#This Row],[uren / jaar weekend]]+Ruimtestaat[[#This Row],[uren / jaar werkdagen]]</f>
        <v>0</v>
      </c>
      <c r="AG689" s="87">
        <f>Ruimtestaat[[#This Row],[kosten / jaar weekend]]+Ruimtestaat[[#This Row],[kosten / jaar werkdagen]]</f>
        <v>0</v>
      </c>
    </row>
    <row r="690" spans="1:33" ht="15" customHeight="1">
      <c r="A690" s="187">
        <v>5</v>
      </c>
      <c r="B690" s="21" t="str">
        <f>VLOOKUP(Ruimtestaat[[#This Row],[Code]],Locaties[#All],2,FALSE)</f>
        <v>Potskamp</v>
      </c>
      <c r="C690" s="231" t="str">
        <f>VLOOKUP(Ruimtestaat[[#This Row],[Code]],Locaties[#All],4,FALSE)</f>
        <v>Potskampstraat 2</v>
      </c>
      <c r="D690" s="231" t="str">
        <f>VLOOKUP(Ruimtestaat[[#This Row],[Code]],Locaties[#All],5,FALSE)</f>
        <v>7573 CC</v>
      </c>
      <c r="E690" s="187" t="str">
        <f>VLOOKUP(Ruimtestaat[[#This Row],[Code]],Locaties[#All],6,FALSE)</f>
        <v>Oldenzaal</v>
      </c>
      <c r="F690" s="232"/>
      <c r="G690" s="187" t="s">
        <v>679</v>
      </c>
      <c r="H690" s="187"/>
      <c r="I690" s="232" t="s">
        <v>698</v>
      </c>
      <c r="J690" s="187">
        <v>5</v>
      </c>
      <c r="K690" s="187" t="str">
        <f>VLOOKUP(Ruimtestaat[[#This Row],[Ruimte code]],Ruimtegroepen[#All],2,FALSE)</f>
        <v>Sanitair</v>
      </c>
      <c r="L690" s="202" t="s">
        <v>108</v>
      </c>
      <c r="M690" s="187" t="s">
        <v>1201</v>
      </c>
      <c r="N690" s="200">
        <v>32</v>
      </c>
      <c r="O690" s="200"/>
      <c r="P690" s="231" t="str">
        <f>VLOOKUP(Ruimtestaat[[#This Row],[Ruimte code]],Ruimtegroepen[#All],4,FALSE)</f>
        <v>S  (Sanitair)</v>
      </c>
      <c r="Q690" s="201"/>
      <c r="R690" s="202">
        <v>42</v>
      </c>
      <c r="S690" s="202" t="s">
        <v>19</v>
      </c>
      <c r="T690" s="202">
        <f>IF(R690&gt;0,IF(RIGHT(Ruimtestaat[[#This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690" s="202">
        <f>IF(T690&gt;0,VLOOKUP($J690,Ruimtegroepen[],3,FALSE)*VLOOKUP($L690,Vloersoorten[],3,FALSE)*VLOOKUP($S690,Frequenties[],3,FALSE)*VLOOKUP($A690,Locaties[],3,FALSE),0)</f>
        <v>0</v>
      </c>
      <c r="V690" s="202">
        <f>Ruimtestaat[[#This Row],[Uitvoeringen werkdagen]]*Ruimtestaat[[#This Row],[Oppervlak (netto)]]</f>
        <v>13440</v>
      </c>
      <c r="W690" s="242">
        <f>IF(U690&gt;0,Ruimtestaat[[#This Row],[Prest. (m2 /jaar) werkdagen]]/Ruimtestaat[[#This Row],[Norm (m2/uur) werkdagen]],0)</f>
        <v>0</v>
      </c>
      <c r="X690" s="243">
        <f>Ruimtestaat[[#This Row],[uren / jaar werkdagen]]*Tariefsopbouw!$D$38</f>
        <v>0</v>
      </c>
      <c r="Y690" s="33"/>
      <c r="Z690" s="33">
        <f>IF(Ruimtestaat[[#This Row],[Frequentie weekend]]&gt;0,VALUE(LEFT(Y690,1))*R690,0)</f>
        <v>0</v>
      </c>
      <c r="AA690" s="33">
        <f>IF($Z690&gt;0,VLOOKUP($J690,Ruimtegroepen[],3,FALSE)*VLOOKUP($L690,Vloersoorten[],3,FALSE)*VLOOKUP($Y690,Frequenties[],3,FALSE)*VLOOKUP(#REF!,Locaties[],3,FALSE),0)</f>
        <v>0</v>
      </c>
      <c r="AB690" s="33"/>
      <c r="AC690" s="33"/>
      <c r="AD690" s="33">
        <f>Ruimtestaat[[#This Row],[uren / jaar weekend]]*Tariefsopbouw!$D$40</f>
        <v>0</v>
      </c>
      <c r="AE690" s="86">
        <f>Ruimtestaat[[#This Row],[Prest. (m2 /jaar) weekend]]+Ruimtestaat[[#This Row],[Prest. (m2 /jaar) werkdagen]]</f>
        <v>13440</v>
      </c>
      <c r="AF690" s="86">
        <f>Ruimtestaat[[#This Row],[uren / jaar weekend]]+Ruimtestaat[[#This Row],[uren / jaar werkdagen]]</f>
        <v>0</v>
      </c>
      <c r="AG690" s="87">
        <f>Ruimtestaat[[#This Row],[kosten / jaar weekend]]+Ruimtestaat[[#This Row],[kosten / jaar werkdagen]]</f>
        <v>0</v>
      </c>
    </row>
    <row r="691" spans="1:33" ht="15" customHeight="1">
      <c r="A691" s="187">
        <v>5</v>
      </c>
      <c r="B691" s="21" t="str">
        <f>VLOOKUP(Ruimtestaat[[#This Row],[Code]],Locaties[#All],2,FALSE)</f>
        <v>Potskamp</v>
      </c>
      <c r="C691" s="231" t="str">
        <f>VLOOKUP(Ruimtestaat[[#This Row],[Code]],Locaties[#All],4,FALSE)</f>
        <v>Potskampstraat 2</v>
      </c>
      <c r="D691" s="231" t="str">
        <f>VLOOKUP(Ruimtestaat[[#This Row],[Code]],Locaties[#All],5,FALSE)</f>
        <v>7573 CC</v>
      </c>
      <c r="E691" s="187" t="str">
        <f>VLOOKUP(Ruimtestaat[[#This Row],[Code]],Locaties[#All],6,FALSE)</f>
        <v>Oldenzaal</v>
      </c>
      <c r="F691" s="232"/>
      <c r="G691" s="187">
        <v>1</v>
      </c>
      <c r="H691" s="187"/>
      <c r="I691" s="232" t="s">
        <v>797</v>
      </c>
      <c r="J691" s="231">
        <v>2</v>
      </c>
      <c r="K691" s="231" t="str">
        <f>VLOOKUP(Ruimtestaat[[#This Row],[Ruimte code]],Ruimtegroepen[#All],2,FALSE)</f>
        <v>Kantoren/kantoortuin</v>
      </c>
      <c r="L691" s="187" t="s">
        <v>109</v>
      </c>
      <c r="M691" s="187" t="s">
        <v>1203</v>
      </c>
      <c r="N691" s="200">
        <v>16.5</v>
      </c>
      <c r="O691" s="200"/>
      <c r="P691" s="231" t="str">
        <f>VLOOKUP(Ruimtestaat[[#This Row],[Ruimte code]],Ruimtegroepen[#All],4,FALSE)</f>
        <v>B  (Bureauruimte)</v>
      </c>
      <c r="Q691" s="201"/>
      <c r="R691" s="202">
        <v>42</v>
      </c>
      <c r="S691" s="202" t="s">
        <v>2</v>
      </c>
      <c r="T691" s="202">
        <f>IF(R691&gt;0,IF(RIGHT(Ruimtestaat[[#This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91" s="202">
        <f>IF(T691&gt;0,VLOOKUP($J691,Ruimtegroepen[],3,FALSE)*VLOOKUP($L691,Vloersoorten[],3,FALSE)*VLOOKUP($S691,Frequenties[],3,FALSE)*VLOOKUP($A691,Locaties[],3,FALSE),0)</f>
        <v>0</v>
      </c>
      <c r="V691" s="202">
        <f>Ruimtestaat[[#This Row],[Uitvoeringen werkdagen]]*Ruimtestaat[[#This Row],[Oppervlak (netto)]]</f>
        <v>3465</v>
      </c>
      <c r="W691" s="242">
        <f>IF(U691&gt;0,Ruimtestaat[[#This Row],[Prest. (m2 /jaar) werkdagen]]/Ruimtestaat[[#This Row],[Norm (m2/uur) werkdagen]],0)</f>
        <v>0</v>
      </c>
      <c r="X691" s="243">
        <f>Ruimtestaat[[#This Row],[uren / jaar werkdagen]]*Tariefsopbouw!$D$38</f>
        <v>0</v>
      </c>
      <c r="Y691" s="33"/>
      <c r="Z691" s="33">
        <f>IF(Ruimtestaat[[#This Row],[Frequentie weekend]]&gt;0,VALUE(LEFT(Y691,1))*R691,0)</f>
        <v>0</v>
      </c>
      <c r="AA691" s="33">
        <f>IF($Z691&gt;0,VLOOKUP($J691,Ruimtegroepen[],3,FALSE)*VLOOKUP($L691,Vloersoorten[],3,FALSE)*VLOOKUP($Y691,Frequenties[],3,FALSE)*VLOOKUP(#REF!,Locaties[],3,FALSE),0)</f>
        <v>0</v>
      </c>
      <c r="AB691" s="33"/>
      <c r="AC691" s="33"/>
      <c r="AD691" s="33">
        <f>Ruimtestaat[[#This Row],[uren / jaar weekend]]*Tariefsopbouw!$D$40</f>
        <v>0</v>
      </c>
      <c r="AE691" s="86">
        <f>Ruimtestaat[[#This Row],[Prest. (m2 /jaar) weekend]]+Ruimtestaat[[#This Row],[Prest. (m2 /jaar) werkdagen]]</f>
        <v>3465</v>
      </c>
      <c r="AF691" s="86">
        <f>Ruimtestaat[[#This Row],[uren / jaar weekend]]+Ruimtestaat[[#This Row],[uren / jaar werkdagen]]</f>
        <v>0</v>
      </c>
      <c r="AG691" s="87">
        <f>Ruimtestaat[[#This Row],[kosten / jaar weekend]]+Ruimtestaat[[#This Row],[kosten / jaar werkdagen]]</f>
        <v>0</v>
      </c>
    </row>
    <row r="692" spans="1:33" ht="15" customHeight="1">
      <c r="A692" s="187">
        <v>5</v>
      </c>
      <c r="B692" s="21" t="str">
        <f>VLOOKUP(Ruimtestaat[[#This Row],[Code]],Locaties[#All],2,FALSE)</f>
        <v>Potskamp</v>
      </c>
      <c r="C692" s="231" t="str">
        <f>VLOOKUP(Ruimtestaat[[#This Row],[Code]],Locaties[#All],4,FALSE)</f>
        <v>Potskampstraat 2</v>
      </c>
      <c r="D692" s="231" t="str">
        <f>VLOOKUP(Ruimtestaat[[#This Row],[Code]],Locaties[#All],5,FALSE)</f>
        <v>7573 CC</v>
      </c>
      <c r="E692" s="187" t="str">
        <f>VLOOKUP(Ruimtestaat[[#This Row],[Code]],Locaties[#All],6,FALSE)</f>
        <v>Oldenzaal</v>
      </c>
      <c r="F692" s="232"/>
      <c r="G692" s="187">
        <v>1</v>
      </c>
      <c r="H692" s="187"/>
      <c r="I692" s="232" t="s">
        <v>604</v>
      </c>
      <c r="J692" s="231">
        <v>16</v>
      </c>
      <c r="K692" s="231" t="str">
        <f>VLOOKUP(Ruimtestaat[[#This Row],[Ruimte code]],Ruimtegroepen[#All],2,FALSE)</f>
        <v>Leslokalen/computerlokaal</v>
      </c>
      <c r="L692" s="187" t="s">
        <v>109</v>
      </c>
      <c r="M692" s="187" t="s">
        <v>1203</v>
      </c>
      <c r="N692" s="200">
        <v>76</v>
      </c>
      <c r="O692" s="200"/>
      <c r="P692" s="231" t="str">
        <f>VLOOKUP(Ruimtestaat[[#This Row],[Ruimte code]],Ruimtegroepen[#All],4,FALSE)</f>
        <v>L  (Lesruimte)</v>
      </c>
      <c r="Q692" s="201"/>
      <c r="R692" s="202">
        <v>42</v>
      </c>
      <c r="S692" s="202" t="s">
        <v>2</v>
      </c>
      <c r="T692" s="202">
        <f>IF(R692&gt;0,IF(RIGHT(Ruimtestaat[[#This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92" s="202">
        <f>IF(T692&gt;0,VLOOKUP($J692,Ruimtegroepen[],3,FALSE)*VLOOKUP($L692,Vloersoorten[],3,FALSE)*VLOOKUP($S692,Frequenties[],3,FALSE)*VLOOKUP($A692,Locaties[],3,FALSE),0)</f>
        <v>0</v>
      </c>
      <c r="V692" s="202">
        <f>Ruimtestaat[[#This Row],[Uitvoeringen werkdagen]]*Ruimtestaat[[#This Row],[Oppervlak (netto)]]</f>
        <v>15960</v>
      </c>
      <c r="W692" s="242">
        <f>IF(U692&gt;0,Ruimtestaat[[#This Row],[Prest. (m2 /jaar) werkdagen]]/Ruimtestaat[[#This Row],[Norm (m2/uur) werkdagen]],0)</f>
        <v>0</v>
      </c>
      <c r="X692" s="243">
        <f>Ruimtestaat[[#This Row],[uren / jaar werkdagen]]*Tariefsopbouw!$D$38</f>
        <v>0</v>
      </c>
      <c r="Y692" s="33"/>
      <c r="Z692" s="33">
        <f>IF(Ruimtestaat[[#This Row],[Frequentie weekend]]&gt;0,VALUE(LEFT(Y692,1))*R692,0)</f>
        <v>0</v>
      </c>
      <c r="AA692" s="33">
        <f>IF($Z692&gt;0,VLOOKUP($J692,Ruimtegroepen[],3,FALSE)*VLOOKUP($L692,Vloersoorten[],3,FALSE)*VLOOKUP($Y692,Frequenties[],3,FALSE)*VLOOKUP(#REF!,Locaties[],3,FALSE),0)</f>
        <v>0</v>
      </c>
      <c r="AB692" s="33"/>
      <c r="AC692" s="33"/>
      <c r="AD692" s="33">
        <f>Ruimtestaat[[#This Row],[uren / jaar weekend]]*Tariefsopbouw!$D$40</f>
        <v>0</v>
      </c>
      <c r="AE692" s="86">
        <f>Ruimtestaat[[#This Row],[Prest. (m2 /jaar) weekend]]+Ruimtestaat[[#This Row],[Prest. (m2 /jaar) werkdagen]]</f>
        <v>15960</v>
      </c>
      <c r="AF692" s="86">
        <f>Ruimtestaat[[#This Row],[uren / jaar weekend]]+Ruimtestaat[[#This Row],[uren / jaar werkdagen]]</f>
        <v>0</v>
      </c>
      <c r="AG692" s="87">
        <f>Ruimtestaat[[#This Row],[kosten / jaar weekend]]+Ruimtestaat[[#This Row],[kosten / jaar werkdagen]]</f>
        <v>0</v>
      </c>
    </row>
    <row r="693" spans="1:33" ht="15" customHeight="1">
      <c r="A693" s="187">
        <v>5</v>
      </c>
      <c r="B693" s="21" t="str">
        <f>VLOOKUP(Ruimtestaat[[#This Row],[Code]],Locaties[#All],2,FALSE)</f>
        <v>Potskamp</v>
      </c>
      <c r="C693" s="231" t="str">
        <f>VLOOKUP(Ruimtestaat[[#This Row],[Code]],Locaties[#All],4,FALSE)</f>
        <v>Potskampstraat 2</v>
      </c>
      <c r="D693" s="231" t="str">
        <f>VLOOKUP(Ruimtestaat[[#This Row],[Code]],Locaties[#All],5,FALSE)</f>
        <v>7573 CC</v>
      </c>
      <c r="E693" s="187" t="str">
        <f>VLOOKUP(Ruimtestaat[[#This Row],[Code]],Locaties[#All],6,FALSE)</f>
        <v>Oldenzaal</v>
      </c>
      <c r="F693" s="232"/>
      <c r="G693" s="187">
        <v>1</v>
      </c>
      <c r="H693" s="187"/>
      <c r="I693" s="232" t="s">
        <v>798</v>
      </c>
      <c r="J693" s="187">
        <v>6</v>
      </c>
      <c r="K693" s="187" t="str">
        <f>VLOOKUP(Ruimtestaat[[#This Row],[Ruimte code]],Ruimtegroepen[#All],2,FALSE)</f>
        <v>Gangen/hallen</v>
      </c>
      <c r="L693" s="187" t="s">
        <v>109</v>
      </c>
      <c r="M693" s="187" t="s">
        <v>1203</v>
      </c>
      <c r="N693" s="200">
        <v>33</v>
      </c>
      <c r="O693" s="200"/>
      <c r="P693" s="231" t="str">
        <f>VLOOKUP(Ruimtestaat[[#This Row],[Ruimte code]],Ruimtegroepen[#All],4,FALSE)</f>
        <v>V  (Verkeersruimte)</v>
      </c>
      <c r="Q693" s="201"/>
      <c r="R693" s="202">
        <v>42</v>
      </c>
      <c r="S693" s="202" t="s">
        <v>2</v>
      </c>
      <c r="T693" s="202">
        <f>IF(R693&gt;0,IF(RIGHT(Ruimtestaat[[#This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93" s="202">
        <f>IF(T693&gt;0,VLOOKUP($J693,Ruimtegroepen[],3,FALSE)*VLOOKUP($L693,Vloersoorten[],3,FALSE)*VLOOKUP($S693,Frequenties[],3,FALSE)*VLOOKUP($A693,Locaties[],3,FALSE),0)</f>
        <v>0</v>
      </c>
      <c r="V693" s="202">
        <f>Ruimtestaat[[#This Row],[Uitvoeringen werkdagen]]*Ruimtestaat[[#This Row],[Oppervlak (netto)]]</f>
        <v>6930</v>
      </c>
      <c r="W693" s="242">
        <f>IF(U693&gt;0,Ruimtestaat[[#This Row],[Prest. (m2 /jaar) werkdagen]]/Ruimtestaat[[#This Row],[Norm (m2/uur) werkdagen]],0)</f>
        <v>0</v>
      </c>
      <c r="X693" s="243">
        <f>Ruimtestaat[[#This Row],[uren / jaar werkdagen]]*Tariefsopbouw!$D$38</f>
        <v>0</v>
      </c>
      <c r="Y693" s="33"/>
      <c r="Z693" s="33">
        <f>IF(Ruimtestaat[[#This Row],[Frequentie weekend]]&gt;0,VALUE(LEFT(Y693,1))*R693,0)</f>
        <v>0</v>
      </c>
      <c r="AA693" s="33">
        <f>IF($Z693&gt;0,VLOOKUP($J693,Ruimtegroepen[],3,FALSE)*VLOOKUP($L693,Vloersoorten[],3,FALSE)*VLOOKUP($Y693,Frequenties[],3,FALSE)*VLOOKUP(#REF!,Locaties[],3,FALSE),0)</f>
        <v>0</v>
      </c>
      <c r="AB693" s="33"/>
      <c r="AC693" s="33"/>
      <c r="AD693" s="33">
        <f>Ruimtestaat[[#This Row],[uren / jaar weekend]]*Tariefsopbouw!$D$40</f>
        <v>0</v>
      </c>
      <c r="AE693" s="86">
        <f>Ruimtestaat[[#This Row],[Prest. (m2 /jaar) weekend]]+Ruimtestaat[[#This Row],[Prest. (m2 /jaar) werkdagen]]</f>
        <v>6930</v>
      </c>
      <c r="AF693" s="86">
        <f>Ruimtestaat[[#This Row],[uren / jaar weekend]]+Ruimtestaat[[#This Row],[uren / jaar werkdagen]]</f>
        <v>0</v>
      </c>
      <c r="AG693" s="87">
        <f>Ruimtestaat[[#This Row],[kosten / jaar weekend]]+Ruimtestaat[[#This Row],[kosten / jaar werkdagen]]</f>
        <v>0</v>
      </c>
    </row>
    <row r="694" spans="1:33" ht="15" customHeight="1">
      <c r="A694" s="187">
        <v>5</v>
      </c>
      <c r="B694" s="21" t="str">
        <f>VLOOKUP(Ruimtestaat[[#This Row],[Code]],Locaties[#All],2,FALSE)</f>
        <v>Potskamp</v>
      </c>
      <c r="C694" s="231" t="str">
        <f>VLOOKUP(Ruimtestaat[[#This Row],[Code]],Locaties[#All],4,FALSE)</f>
        <v>Potskampstraat 2</v>
      </c>
      <c r="D694" s="231" t="str">
        <f>VLOOKUP(Ruimtestaat[[#This Row],[Code]],Locaties[#All],5,FALSE)</f>
        <v>7573 CC</v>
      </c>
      <c r="E694" s="187" t="str">
        <f>VLOOKUP(Ruimtestaat[[#This Row],[Code]],Locaties[#All],6,FALSE)</f>
        <v>Oldenzaal</v>
      </c>
      <c r="F694" s="232"/>
      <c r="G694" s="187">
        <v>1</v>
      </c>
      <c r="H694" s="187"/>
      <c r="I694" s="232" t="s">
        <v>798</v>
      </c>
      <c r="J694" s="231">
        <v>6</v>
      </c>
      <c r="K694" s="231" t="str">
        <f>VLOOKUP(Ruimtestaat[[#This Row],[Ruimte code]],Ruimtegroepen[#All],2,FALSE)</f>
        <v>Gangen/hallen</v>
      </c>
      <c r="L694" s="187" t="s">
        <v>109</v>
      </c>
      <c r="M694" s="187" t="s">
        <v>1203</v>
      </c>
      <c r="N694" s="200">
        <v>21</v>
      </c>
      <c r="O694" s="200"/>
      <c r="P694" s="231" t="str">
        <f>VLOOKUP(Ruimtestaat[[#This Row],[Ruimte code]],Ruimtegroepen[#All],4,FALSE)</f>
        <v>V  (Verkeersruimte)</v>
      </c>
      <c r="Q694" s="201"/>
      <c r="R694" s="202">
        <v>42</v>
      </c>
      <c r="S694" s="202" t="s">
        <v>2</v>
      </c>
      <c r="T694" s="202">
        <f>IF(R694&gt;0,IF(RIGHT(Ruimtestaat[[#This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94" s="202">
        <f>IF(T694&gt;0,VLOOKUP($J694,Ruimtegroepen[],3,FALSE)*VLOOKUP($L694,Vloersoorten[],3,FALSE)*VLOOKUP($S694,Frequenties[],3,FALSE)*VLOOKUP($A694,Locaties[],3,FALSE),0)</f>
        <v>0</v>
      </c>
      <c r="V694" s="202">
        <f>Ruimtestaat[[#This Row],[Uitvoeringen werkdagen]]*Ruimtestaat[[#This Row],[Oppervlak (netto)]]</f>
        <v>4410</v>
      </c>
      <c r="W694" s="242">
        <f>IF(U694&gt;0,Ruimtestaat[[#This Row],[Prest. (m2 /jaar) werkdagen]]/Ruimtestaat[[#This Row],[Norm (m2/uur) werkdagen]],0)</f>
        <v>0</v>
      </c>
      <c r="X694" s="243">
        <f>Ruimtestaat[[#This Row],[uren / jaar werkdagen]]*Tariefsopbouw!$D$38</f>
        <v>0</v>
      </c>
      <c r="Y694" s="33"/>
      <c r="Z694" s="33">
        <f>IF(Ruimtestaat[[#This Row],[Frequentie weekend]]&gt;0,VALUE(LEFT(Y694,1))*R694,0)</f>
        <v>0</v>
      </c>
      <c r="AA694" s="33">
        <f>IF($Z694&gt;0,VLOOKUP($J694,Ruimtegroepen[],3,FALSE)*VLOOKUP($L694,Vloersoorten[],3,FALSE)*VLOOKUP($Y694,Frequenties[],3,FALSE)*VLOOKUP(#REF!,Locaties[],3,FALSE),0)</f>
        <v>0</v>
      </c>
      <c r="AB694" s="33"/>
      <c r="AC694" s="33"/>
      <c r="AD694" s="33">
        <f>Ruimtestaat[[#This Row],[uren / jaar weekend]]*Tariefsopbouw!$D$40</f>
        <v>0</v>
      </c>
      <c r="AE694" s="86">
        <f>Ruimtestaat[[#This Row],[Prest. (m2 /jaar) weekend]]+Ruimtestaat[[#This Row],[Prest. (m2 /jaar) werkdagen]]</f>
        <v>4410</v>
      </c>
      <c r="AF694" s="86">
        <f>Ruimtestaat[[#This Row],[uren / jaar weekend]]+Ruimtestaat[[#This Row],[uren / jaar werkdagen]]</f>
        <v>0</v>
      </c>
      <c r="AG694" s="87">
        <f>Ruimtestaat[[#This Row],[kosten / jaar weekend]]+Ruimtestaat[[#This Row],[kosten / jaar werkdagen]]</f>
        <v>0</v>
      </c>
    </row>
    <row r="695" spans="1:33" ht="15" customHeight="1">
      <c r="A695" s="187">
        <v>5</v>
      </c>
      <c r="B695" s="21" t="str">
        <f>VLOOKUP(Ruimtestaat[[#This Row],[Code]],Locaties[#All],2,FALSE)</f>
        <v>Potskamp</v>
      </c>
      <c r="C695" s="231" t="str">
        <f>VLOOKUP(Ruimtestaat[[#This Row],[Code]],Locaties[#All],4,FALSE)</f>
        <v>Potskampstraat 2</v>
      </c>
      <c r="D695" s="231" t="str">
        <f>VLOOKUP(Ruimtestaat[[#This Row],[Code]],Locaties[#All],5,FALSE)</f>
        <v>7573 CC</v>
      </c>
      <c r="E695" s="187" t="str">
        <f>VLOOKUP(Ruimtestaat[[#This Row],[Code]],Locaties[#All],6,FALSE)</f>
        <v>Oldenzaal</v>
      </c>
      <c r="F695" s="232"/>
      <c r="G695" s="187">
        <v>1</v>
      </c>
      <c r="H695" s="187"/>
      <c r="I695" s="232" t="s">
        <v>604</v>
      </c>
      <c r="J695" s="231">
        <v>16</v>
      </c>
      <c r="K695" s="231" t="str">
        <f>VLOOKUP(Ruimtestaat[[#This Row],[Ruimte code]],Ruimtegroepen[#All],2,FALSE)</f>
        <v>Leslokalen/computerlokaal</v>
      </c>
      <c r="L695" s="187" t="s">
        <v>109</v>
      </c>
      <c r="M695" s="187" t="s">
        <v>1203</v>
      </c>
      <c r="N695" s="200">
        <v>68</v>
      </c>
      <c r="O695" s="200"/>
      <c r="P695" s="231" t="str">
        <f>VLOOKUP(Ruimtestaat[[#This Row],[Ruimte code]],Ruimtegroepen[#All],4,FALSE)</f>
        <v>L  (Lesruimte)</v>
      </c>
      <c r="Q695" s="201"/>
      <c r="R695" s="202">
        <v>42</v>
      </c>
      <c r="S695" s="202" t="s">
        <v>2</v>
      </c>
      <c r="T695" s="202">
        <f>IF(R695&gt;0,IF(RIGHT(Ruimtestaat[[#This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95" s="202">
        <f>IF(T695&gt;0,VLOOKUP($J695,Ruimtegroepen[],3,FALSE)*VLOOKUP($L695,Vloersoorten[],3,FALSE)*VLOOKUP($S695,Frequenties[],3,FALSE)*VLOOKUP($A695,Locaties[],3,FALSE),0)</f>
        <v>0</v>
      </c>
      <c r="V695" s="202">
        <f>Ruimtestaat[[#This Row],[Uitvoeringen werkdagen]]*Ruimtestaat[[#This Row],[Oppervlak (netto)]]</f>
        <v>14280</v>
      </c>
      <c r="W695" s="242">
        <f>IF(U695&gt;0,Ruimtestaat[[#This Row],[Prest. (m2 /jaar) werkdagen]]/Ruimtestaat[[#This Row],[Norm (m2/uur) werkdagen]],0)</f>
        <v>0</v>
      </c>
      <c r="X695" s="243">
        <f>Ruimtestaat[[#This Row],[uren / jaar werkdagen]]*Tariefsopbouw!$D$38</f>
        <v>0</v>
      </c>
      <c r="Y695" s="33"/>
      <c r="Z695" s="33">
        <f>IF(Ruimtestaat[[#This Row],[Frequentie weekend]]&gt;0,VALUE(LEFT(Y695,1))*R695,0)</f>
        <v>0</v>
      </c>
      <c r="AA695" s="33">
        <f>IF($Z695&gt;0,VLOOKUP($J695,Ruimtegroepen[],3,FALSE)*VLOOKUP($L695,Vloersoorten[],3,FALSE)*VLOOKUP($Y695,Frequenties[],3,FALSE)*VLOOKUP(#REF!,Locaties[],3,FALSE),0)</f>
        <v>0</v>
      </c>
      <c r="AB695" s="33"/>
      <c r="AC695" s="33"/>
      <c r="AD695" s="33">
        <f>Ruimtestaat[[#This Row],[uren / jaar weekend]]*Tariefsopbouw!$D$40</f>
        <v>0</v>
      </c>
      <c r="AE695" s="86">
        <f>Ruimtestaat[[#This Row],[Prest. (m2 /jaar) weekend]]+Ruimtestaat[[#This Row],[Prest. (m2 /jaar) werkdagen]]</f>
        <v>14280</v>
      </c>
      <c r="AF695" s="86">
        <f>Ruimtestaat[[#This Row],[uren / jaar weekend]]+Ruimtestaat[[#This Row],[uren / jaar werkdagen]]</f>
        <v>0</v>
      </c>
      <c r="AG695" s="87">
        <f>Ruimtestaat[[#This Row],[kosten / jaar weekend]]+Ruimtestaat[[#This Row],[kosten / jaar werkdagen]]</f>
        <v>0</v>
      </c>
    </row>
    <row r="696" spans="1:33" ht="15" customHeight="1">
      <c r="A696" s="187">
        <v>5</v>
      </c>
      <c r="B696" s="21" t="str">
        <f>VLOOKUP(Ruimtestaat[[#This Row],[Code]],Locaties[#All],2,FALSE)</f>
        <v>Potskamp</v>
      </c>
      <c r="C696" s="231" t="str">
        <f>VLOOKUP(Ruimtestaat[[#This Row],[Code]],Locaties[#All],4,FALSE)</f>
        <v>Potskampstraat 2</v>
      </c>
      <c r="D696" s="231" t="str">
        <f>VLOOKUP(Ruimtestaat[[#This Row],[Code]],Locaties[#All],5,FALSE)</f>
        <v>7573 CC</v>
      </c>
      <c r="E696" s="187" t="str">
        <f>VLOOKUP(Ruimtestaat[[#This Row],[Code]],Locaties[#All],6,FALSE)</f>
        <v>Oldenzaal</v>
      </c>
      <c r="F696" s="232"/>
      <c r="G696" s="187">
        <v>1</v>
      </c>
      <c r="H696" s="187"/>
      <c r="I696" s="232" t="s">
        <v>604</v>
      </c>
      <c r="J696" s="231">
        <v>16</v>
      </c>
      <c r="K696" s="231" t="str">
        <f>VLOOKUP(Ruimtestaat[[#This Row],[Ruimte code]],Ruimtegroepen[#All],2,FALSE)</f>
        <v>Leslokalen/computerlokaal</v>
      </c>
      <c r="L696" s="187" t="s">
        <v>109</v>
      </c>
      <c r="M696" s="187" t="s">
        <v>1203</v>
      </c>
      <c r="N696" s="200">
        <v>71</v>
      </c>
      <c r="O696" s="200"/>
      <c r="P696" s="231" t="str">
        <f>VLOOKUP(Ruimtestaat[[#This Row],[Ruimte code]],Ruimtegroepen[#All],4,FALSE)</f>
        <v>L  (Lesruimte)</v>
      </c>
      <c r="Q696" s="201"/>
      <c r="R696" s="202">
        <v>42</v>
      </c>
      <c r="S696" s="202" t="s">
        <v>2</v>
      </c>
      <c r="T696" s="202">
        <f>IF(R696&gt;0,IF(RIGHT(Ruimtestaat[[#This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96" s="202">
        <f>IF(T696&gt;0,VLOOKUP($J696,Ruimtegroepen[],3,FALSE)*VLOOKUP($L696,Vloersoorten[],3,FALSE)*VLOOKUP($S696,Frequenties[],3,FALSE)*VLOOKUP($A696,Locaties[],3,FALSE),0)</f>
        <v>0</v>
      </c>
      <c r="V696" s="202">
        <f>Ruimtestaat[[#This Row],[Uitvoeringen werkdagen]]*Ruimtestaat[[#This Row],[Oppervlak (netto)]]</f>
        <v>14910</v>
      </c>
      <c r="W696" s="242">
        <f>IF(U696&gt;0,Ruimtestaat[[#This Row],[Prest. (m2 /jaar) werkdagen]]/Ruimtestaat[[#This Row],[Norm (m2/uur) werkdagen]],0)</f>
        <v>0</v>
      </c>
      <c r="X696" s="243">
        <f>Ruimtestaat[[#This Row],[uren / jaar werkdagen]]*Tariefsopbouw!$D$38</f>
        <v>0</v>
      </c>
      <c r="Y696" s="33"/>
      <c r="Z696" s="33">
        <f>IF(Ruimtestaat[[#This Row],[Frequentie weekend]]&gt;0,VALUE(LEFT(Y696,1))*R696,0)</f>
        <v>0</v>
      </c>
      <c r="AA696" s="33">
        <f>IF($Z696&gt;0,VLOOKUP($J696,Ruimtegroepen[],3,FALSE)*VLOOKUP($L696,Vloersoorten[],3,FALSE)*VLOOKUP($Y696,Frequenties[],3,FALSE)*VLOOKUP(#REF!,Locaties[],3,FALSE),0)</f>
        <v>0</v>
      </c>
      <c r="AB696" s="33"/>
      <c r="AC696" s="33"/>
      <c r="AD696" s="33">
        <f>Ruimtestaat[[#This Row],[uren / jaar weekend]]*Tariefsopbouw!$D$40</f>
        <v>0</v>
      </c>
      <c r="AE696" s="86">
        <f>Ruimtestaat[[#This Row],[Prest. (m2 /jaar) weekend]]+Ruimtestaat[[#This Row],[Prest. (m2 /jaar) werkdagen]]</f>
        <v>14910</v>
      </c>
      <c r="AF696" s="86">
        <f>Ruimtestaat[[#This Row],[uren / jaar weekend]]+Ruimtestaat[[#This Row],[uren / jaar werkdagen]]</f>
        <v>0</v>
      </c>
      <c r="AG696" s="87">
        <f>Ruimtestaat[[#This Row],[kosten / jaar weekend]]+Ruimtestaat[[#This Row],[kosten / jaar werkdagen]]</f>
        <v>0</v>
      </c>
    </row>
    <row r="697" spans="1:33" ht="15" customHeight="1">
      <c r="A697" s="187">
        <v>5</v>
      </c>
      <c r="B697" s="21" t="str">
        <f>VLOOKUP(Ruimtestaat[[#This Row],[Code]],Locaties[#All],2,FALSE)</f>
        <v>Potskamp</v>
      </c>
      <c r="C697" s="231" t="str">
        <f>VLOOKUP(Ruimtestaat[[#This Row],[Code]],Locaties[#All],4,FALSE)</f>
        <v>Potskampstraat 2</v>
      </c>
      <c r="D697" s="231" t="str">
        <f>VLOOKUP(Ruimtestaat[[#This Row],[Code]],Locaties[#All],5,FALSE)</f>
        <v>7573 CC</v>
      </c>
      <c r="E697" s="187" t="str">
        <f>VLOOKUP(Ruimtestaat[[#This Row],[Code]],Locaties[#All],6,FALSE)</f>
        <v>Oldenzaal</v>
      </c>
      <c r="F697" s="232"/>
      <c r="G697" s="187">
        <v>1</v>
      </c>
      <c r="H697" s="187"/>
      <c r="I697" s="232" t="s">
        <v>797</v>
      </c>
      <c r="J697" s="187">
        <v>2</v>
      </c>
      <c r="K697" s="187" t="str">
        <f>VLOOKUP(Ruimtestaat[[#This Row],[Ruimte code]],Ruimtegroepen[#All],2,FALSE)</f>
        <v>Kantoren/kantoortuin</v>
      </c>
      <c r="L697" s="187" t="s">
        <v>109</v>
      </c>
      <c r="M697" s="187" t="s">
        <v>1203</v>
      </c>
      <c r="N697" s="200">
        <v>20</v>
      </c>
      <c r="O697" s="200"/>
      <c r="P697" s="231" t="str">
        <f>VLOOKUP(Ruimtestaat[[#This Row],[Ruimte code]],Ruimtegroepen[#All],4,FALSE)</f>
        <v>B  (Bureauruimte)</v>
      </c>
      <c r="Q697" s="201"/>
      <c r="R697" s="202">
        <v>42</v>
      </c>
      <c r="S697" s="202" t="s">
        <v>2</v>
      </c>
      <c r="T697" s="202">
        <f>IF(R697&gt;0,IF(RIGHT(Ruimtestaat[[#This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97" s="202">
        <f>IF(T697&gt;0,VLOOKUP($J697,Ruimtegroepen[],3,FALSE)*VLOOKUP($L697,Vloersoorten[],3,FALSE)*VLOOKUP($S697,Frequenties[],3,FALSE)*VLOOKUP($A697,Locaties[],3,FALSE),0)</f>
        <v>0</v>
      </c>
      <c r="V697" s="202">
        <f>Ruimtestaat[[#This Row],[Uitvoeringen werkdagen]]*Ruimtestaat[[#This Row],[Oppervlak (netto)]]</f>
        <v>4200</v>
      </c>
      <c r="W697" s="242">
        <f>IF(U697&gt;0,Ruimtestaat[[#This Row],[Prest. (m2 /jaar) werkdagen]]/Ruimtestaat[[#This Row],[Norm (m2/uur) werkdagen]],0)</f>
        <v>0</v>
      </c>
      <c r="X697" s="243">
        <f>Ruimtestaat[[#This Row],[uren / jaar werkdagen]]*Tariefsopbouw!$D$38</f>
        <v>0</v>
      </c>
      <c r="Y697" s="33"/>
      <c r="Z697" s="33">
        <f>IF(Ruimtestaat[[#This Row],[Frequentie weekend]]&gt;0,VALUE(LEFT(Y697,1))*R697,0)</f>
        <v>0</v>
      </c>
      <c r="AA697" s="33">
        <f>IF($Z697&gt;0,VLOOKUP($J697,Ruimtegroepen[],3,FALSE)*VLOOKUP($L697,Vloersoorten[],3,FALSE)*VLOOKUP($Y697,Frequenties[],3,FALSE)*VLOOKUP(#REF!,Locaties[],3,FALSE),0)</f>
        <v>0</v>
      </c>
      <c r="AB697" s="33"/>
      <c r="AC697" s="33"/>
      <c r="AD697" s="33">
        <f>Ruimtestaat[[#This Row],[uren / jaar weekend]]*Tariefsopbouw!$D$40</f>
        <v>0</v>
      </c>
      <c r="AE697" s="86">
        <f>Ruimtestaat[[#This Row],[Prest. (m2 /jaar) weekend]]+Ruimtestaat[[#This Row],[Prest. (m2 /jaar) werkdagen]]</f>
        <v>4200</v>
      </c>
      <c r="AF697" s="86">
        <f>Ruimtestaat[[#This Row],[uren / jaar weekend]]+Ruimtestaat[[#This Row],[uren / jaar werkdagen]]</f>
        <v>0</v>
      </c>
      <c r="AG697" s="87">
        <f>Ruimtestaat[[#This Row],[kosten / jaar weekend]]+Ruimtestaat[[#This Row],[kosten / jaar werkdagen]]</f>
        <v>0</v>
      </c>
    </row>
    <row r="698" spans="1:33" ht="15" customHeight="1">
      <c r="A698" s="187">
        <v>5</v>
      </c>
      <c r="B698" s="21" t="str">
        <f>VLOOKUP(Ruimtestaat[[#This Row],[Code]],Locaties[#All],2,FALSE)</f>
        <v>Potskamp</v>
      </c>
      <c r="C698" s="231" t="str">
        <f>VLOOKUP(Ruimtestaat[[#This Row],[Code]],Locaties[#All],4,FALSE)</f>
        <v>Potskampstraat 2</v>
      </c>
      <c r="D698" s="231" t="str">
        <f>VLOOKUP(Ruimtestaat[[#This Row],[Code]],Locaties[#All],5,FALSE)</f>
        <v>7573 CC</v>
      </c>
      <c r="E698" s="187" t="str">
        <f>VLOOKUP(Ruimtestaat[[#This Row],[Code]],Locaties[#All],6,FALSE)</f>
        <v>Oldenzaal</v>
      </c>
      <c r="F698" s="232"/>
      <c r="G698" s="187">
        <v>1</v>
      </c>
      <c r="H698" s="187"/>
      <c r="I698" s="232" t="s">
        <v>798</v>
      </c>
      <c r="J698" s="187">
        <v>6</v>
      </c>
      <c r="K698" s="187" t="str">
        <f>VLOOKUP(Ruimtestaat[[#This Row],[Ruimte code]],Ruimtegroepen[#All],2,FALSE)</f>
        <v>Gangen/hallen</v>
      </c>
      <c r="L698" s="187" t="s">
        <v>109</v>
      </c>
      <c r="M698" s="187" t="s">
        <v>1203</v>
      </c>
      <c r="N698" s="200">
        <v>28</v>
      </c>
      <c r="O698" s="200"/>
      <c r="P698" s="231" t="str">
        <f>VLOOKUP(Ruimtestaat[[#This Row],[Ruimte code]],Ruimtegroepen[#All],4,FALSE)</f>
        <v>V  (Verkeersruimte)</v>
      </c>
      <c r="Q698" s="201"/>
      <c r="R698" s="202">
        <v>42</v>
      </c>
      <c r="S698" s="202" t="s">
        <v>2</v>
      </c>
      <c r="T698" s="202">
        <f>IF(R698&gt;0,IF(RIGHT(Ruimtestaat[[#This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98" s="202">
        <f>IF(T698&gt;0,VLOOKUP($J698,Ruimtegroepen[],3,FALSE)*VLOOKUP($L698,Vloersoorten[],3,FALSE)*VLOOKUP($S698,Frequenties[],3,FALSE)*VLOOKUP($A698,Locaties[],3,FALSE),0)</f>
        <v>0</v>
      </c>
      <c r="V698" s="202">
        <f>Ruimtestaat[[#This Row],[Uitvoeringen werkdagen]]*Ruimtestaat[[#This Row],[Oppervlak (netto)]]</f>
        <v>5880</v>
      </c>
      <c r="W698" s="242">
        <f>IF(U698&gt;0,Ruimtestaat[[#This Row],[Prest. (m2 /jaar) werkdagen]]/Ruimtestaat[[#This Row],[Norm (m2/uur) werkdagen]],0)</f>
        <v>0</v>
      </c>
      <c r="X698" s="243">
        <f>Ruimtestaat[[#This Row],[uren / jaar werkdagen]]*Tariefsopbouw!$D$38</f>
        <v>0</v>
      </c>
      <c r="Y698" s="33"/>
      <c r="Z698" s="33">
        <f>IF(Ruimtestaat[[#This Row],[Frequentie weekend]]&gt;0,VALUE(LEFT(Y698,1))*R698,0)</f>
        <v>0</v>
      </c>
      <c r="AA698" s="33">
        <f>IF($Z698&gt;0,VLOOKUP($J698,Ruimtegroepen[],3,FALSE)*VLOOKUP($L698,Vloersoorten[],3,FALSE)*VLOOKUP($Y698,Frequenties[],3,FALSE)*VLOOKUP(#REF!,Locaties[],3,FALSE),0)</f>
        <v>0</v>
      </c>
      <c r="AB698" s="33"/>
      <c r="AC698" s="33"/>
      <c r="AD698" s="33">
        <f>Ruimtestaat[[#This Row],[uren / jaar weekend]]*Tariefsopbouw!$D$40</f>
        <v>0</v>
      </c>
      <c r="AE698" s="86">
        <f>Ruimtestaat[[#This Row],[Prest. (m2 /jaar) weekend]]+Ruimtestaat[[#This Row],[Prest. (m2 /jaar) werkdagen]]</f>
        <v>5880</v>
      </c>
      <c r="AF698" s="86">
        <f>Ruimtestaat[[#This Row],[uren / jaar weekend]]+Ruimtestaat[[#This Row],[uren / jaar werkdagen]]</f>
        <v>0</v>
      </c>
      <c r="AG698" s="87">
        <f>Ruimtestaat[[#This Row],[kosten / jaar weekend]]+Ruimtestaat[[#This Row],[kosten / jaar werkdagen]]</f>
        <v>0</v>
      </c>
    </row>
    <row r="699" spans="1:33" ht="15" customHeight="1">
      <c r="A699" s="187">
        <v>5</v>
      </c>
      <c r="B699" s="21" t="str">
        <f>VLOOKUP(Ruimtestaat[[#This Row],[Code]],Locaties[#All],2,FALSE)</f>
        <v>Potskamp</v>
      </c>
      <c r="C699" s="231" t="str">
        <f>VLOOKUP(Ruimtestaat[[#This Row],[Code]],Locaties[#All],4,FALSE)</f>
        <v>Potskampstraat 2</v>
      </c>
      <c r="D699" s="231" t="str">
        <f>VLOOKUP(Ruimtestaat[[#This Row],[Code]],Locaties[#All],5,FALSE)</f>
        <v>7573 CC</v>
      </c>
      <c r="E699" s="187" t="str">
        <f>VLOOKUP(Ruimtestaat[[#This Row],[Code]],Locaties[#All],6,FALSE)</f>
        <v>Oldenzaal</v>
      </c>
      <c r="F699" s="232"/>
      <c r="G699" s="187">
        <v>1</v>
      </c>
      <c r="H699" s="187"/>
      <c r="I699" s="232" t="s">
        <v>798</v>
      </c>
      <c r="J699" s="187">
        <v>6</v>
      </c>
      <c r="K699" s="187" t="str">
        <f>VLOOKUP(Ruimtestaat[[#This Row],[Ruimte code]],Ruimtegroepen[#All],2,FALSE)</f>
        <v>Gangen/hallen</v>
      </c>
      <c r="L699" s="187" t="s">
        <v>109</v>
      </c>
      <c r="M699" s="187" t="s">
        <v>1203</v>
      </c>
      <c r="N699" s="200">
        <v>98</v>
      </c>
      <c r="O699" s="200"/>
      <c r="P699" s="231" t="str">
        <f>VLOOKUP(Ruimtestaat[[#This Row],[Ruimte code]],Ruimtegroepen[#All],4,FALSE)</f>
        <v>V  (Verkeersruimte)</v>
      </c>
      <c r="Q699" s="201"/>
      <c r="R699" s="202">
        <v>42</v>
      </c>
      <c r="S699" s="202" t="s">
        <v>2</v>
      </c>
      <c r="T699" s="202">
        <f>IF(R699&gt;0,IF(RIGHT(Ruimtestaat[[#This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699" s="202">
        <f>IF(T699&gt;0,VLOOKUP($J699,Ruimtegroepen[],3,FALSE)*VLOOKUP($L699,Vloersoorten[],3,FALSE)*VLOOKUP($S699,Frequenties[],3,FALSE)*VLOOKUP($A699,Locaties[],3,FALSE),0)</f>
        <v>0</v>
      </c>
      <c r="V699" s="202">
        <f>Ruimtestaat[[#This Row],[Uitvoeringen werkdagen]]*Ruimtestaat[[#This Row],[Oppervlak (netto)]]</f>
        <v>20580</v>
      </c>
      <c r="W699" s="242">
        <f>IF(U699&gt;0,Ruimtestaat[[#This Row],[Prest. (m2 /jaar) werkdagen]]/Ruimtestaat[[#This Row],[Norm (m2/uur) werkdagen]],0)</f>
        <v>0</v>
      </c>
      <c r="X699" s="243">
        <f>Ruimtestaat[[#This Row],[uren / jaar werkdagen]]*Tariefsopbouw!$D$38</f>
        <v>0</v>
      </c>
      <c r="Y699" s="33"/>
      <c r="Z699" s="33">
        <f>IF(Ruimtestaat[[#This Row],[Frequentie weekend]]&gt;0,VALUE(LEFT(Y699,1))*R699,0)</f>
        <v>0</v>
      </c>
      <c r="AA699" s="33">
        <f>IF($Z699&gt;0,VLOOKUP($J699,Ruimtegroepen[],3,FALSE)*VLOOKUP($L699,Vloersoorten[],3,FALSE)*VLOOKUP($Y699,Frequenties[],3,FALSE)*VLOOKUP(#REF!,Locaties[],3,FALSE),0)</f>
        <v>0</v>
      </c>
      <c r="AB699" s="33"/>
      <c r="AC699" s="33"/>
      <c r="AD699" s="33">
        <f>Ruimtestaat[[#This Row],[uren / jaar weekend]]*Tariefsopbouw!$D$40</f>
        <v>0</v>
      </c>
      <c r="AE699" s="86">
        <f>Ruimtestaat[[#This Row],[Prest. (m2 /jaar) weekend]]+Ruimtestaat[[#This Row],[Prest. (m2 /jaar) werkdagen]]</f>
        <v>20580</v>
      </c>
      <c r="AF699" s="86">
        <f>Ruimtestaat[[#This Row],[uren / jaar weekend]]+Ruimtestaat[[#This Row],[uren / jaar werkdagen]]</f>
        <v>0</v>
      </c>
      <c r="AG699" s="87">
        <f>Ruimtestaat[[#This Row],[kosten / jaar weekend]]+Ruimtestaat[[#This Row],[kosten / jaar werkdagen]]</f>
        <v>0</v>
      </c>
    </row>
    <row r="700" spans="1:33" ht="15" customHeight="1">
      <c r="A700" s="187">
        <v>5</v>
      </c>
      <c r="B700" s="21" t="str">
        <f>VLOOKUP(Ruimtestaat[[#This Row],[Code]],Locaties[#All],2,FALSE)</f>
        <v>Potskamp</v>
      </c>
      <c r="C700" s="231" t="str">
        <f>VLOOKUP(Ruimtestaat[[#This Row],[Code]],Locaties[#All],4,FALSE)</f>
        <v>Potskampstraat 2</v>
      </c>
      <c r="D700" s="231" t="str">
        <f>VLOOKUP(Ruimtestaat[[#This Row],[Code]],Locaties[#All],5,FALSE)</f>
        <v>7573 CC</v>
      </c>
      <c r="E700" s="187" t="str">
        <f>VLOOKUP(Ruimtestaat[[#This Row],[Code]],Locaties[#All],6,FALSE)</f>
        <v>Oldenzaal</v>
      </c>
      <c r="F700" s="232"/>
      <c r="G700" s="187">
        <v>1</v>
      </c>
      <c r="H700" s="187"/>
      <c r="I700" s="232" t="s">
        <v>798</v>
      </c>
      <c r="J700" s="187">
        <v>6</v>
      </c>
      <c r="K700" s="187" t="str">
        <f>VLOOKUP(Ruimtestaat[[#This Row],[Ruimte code]],Ruimtegroepen[#All],2,FALSE)</f>
        <v>Gangen/hallen</v>
      </c>
      <c r="L700" s="187" t="s">
        <v>109</v>
      </c>
      <c r="M700" s="187" t="s">
        <v>1203</v>
      </c>
      <c r="N700" s="200">
        <v>30.8</v>
      </c>
      <c r="O700" s="200"/>
      <c r="P700" s="231" t="str">
        <f>VLOOKUP(Ruimtestaat[[#This Row],[Ruimte code]],Ruimtegroepen[#All],4,FALSE)</f>
        <v>V  (Verkeersruimte)</v>
      </c>
      <c r="Q700" s="201"/>
      <c r="R700" s="202">
        <v>42</v>
      </c>
      <c r="S700" s="202" t="s">
        <v>2</v>
      </c>
      <c r="T700" s="202">
        <f>IF(R700&gt;0,IF(RIGHT(Ruimtestaat[[#This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00" s="202">
        <f>IF(T700&gt;0,VLOOKUP($J700,Ruimtegroepen[],3,FALSE)*VLOOKUP($L700,Vloersoorten[],3,FALSE)*VLOOKUP($S700,Frequenties[],3,FALSE)*VLOOKUP($A700,Locaties[],3,FALSE),0)</f>
        <v>0</v>
      </c>
      <c r="V700" s="202">
        <f>Ruimtestaat[[#This Row],[Uitvoeringen werkdagen]]*Ruimtestaat[[#This Row],[Oppervlak (netto)]]</f>
        <v>6468</v>
      </c>
      <c r="W700" s="242">
        <f>IF(U700&gt;0,Ruimtestaat[[#This Row],[Prest. (m2 /jaar) werkdagen]]/Ruimtestaat[[#This Row],[Norm (m2/uur) werkdagen]],0)</f>
        <v>0</v>
      </c>
      <c r="X700" s="243">
        <f>Ruimtestaat[[#This Row],[uren / jaar werkdagen]]*Tariefsopbouw!$D$38</f>
        <v>0</v>
      </c>
      <c r="Y700" s="33"/>
      <c r="Z700" s="33">
        <f>IF(Ruimtestaat[[#This Row],[Frequentie weekend]]&gt;0,VALUE(LEFT(Y700,1))*R700,0)</f>
        <v>0</v>
      </c>
      <c r="AA700" s="33">
        <f>IF($Z700&gt;0,VLOOKUP($J700,Ruimtegroepen[],3,FALSE)*VLOOKUP($L700,Vloersoorten[],3,FALSE)*VLOOKUP($Y700,Frequenties[],3,FALSE)*VLOOKUP(#REF!,Locaties[],3,FALSE),0)</f>
        <v>0</v>
      </c>
      <c r="AB700" s="33"/>
      <c r="AC700" s="33"/>
      <c r="AD700" s="33">
        <f>Ruimtestaat[[#This Row],[uren / jaar weekend]]*Tariefsopbouw!$D$40</f>
        <v>0</v>
      </c>
      <c r="AE700" s="86">
        <f>Ruimtestaat[[#This Row],[Prest. (m2 /jaar) weekend]]+Ruimtestaat[[#This Row],[Prest. (m2 /jaar) werkdagen]]</f>
        <v>6468</v>
      </c>
      <c r="AF700" s="86">
        <f>Ruimtestaat[[#This Row],[uren / jaar weekend]]+Ruimtestaat[[#This Row],[uren / jaar werkdagen]]</f>
        <v>0</v>
      </c>
      <c r="AG700" s="87">
        <f>Ruimtestaat[[#This Row],[kosten / jaar weekend]]+Ruimtestaat[[#This Row],[kosten / jaar werkdagen]]</f>
        <v>0</v>
      </c>
    </row>
    <row r="701" spans="1:33" ht="15" customHeight="1">
      <c r="A701" s="187">
        <v>5</v>
      </c>
      <c r="B701" s="21" t="str">
        <f>VLOOKUP(Ruimtestaat[[#This Row],[Code]],Locaties[#All],2,FALSE)</f>
        <v>Potskamp</v>
      </c>
      <c r="C701" s="231" t="str">
        <f>VLOOKUP(Ruimtestaat[[#This Row],[Code]],Locaties[#All],4,FALSE)</f>
        <v>Potskampstraat 2</v>
      </c>
      <c r="D701" s="231" t="str">
        <f>VLOOKUP(Ruimtestaat[[#This Row],[Code]],Locaties[#All],5,FALSE)</f>
        <v>7573 CC</v>
      </c>
      <c r="E701" s="187" t="str">
        <f>VLOOKUP(Ruimtestaat[[#This Row],[Code]],Locaties[#All],6,FALSE)</f>
        <v>Oldenzaal</v>
      </c>
      <c r="F701" s="232"/>
      <c r="G701" s="187">
        <v>1</v>
      </c>
      <c r="H701" s="187"/>
      <c r="I701" s="232" t="s">
        <v>797</v>
      </c>
      <c r="J701" s="187">
        <v>2</v>
      </c>
      <c r="K701" s="187" t="str">
        <f>VLOOKUP(Ruimtestaat[[#This Row],[Ruimte code]],Ruimtegroepen[#All],2,FALSE)</f>
        <v>Kantoren/kantoortuin</v>
      </c>
      <c r="L701" s="187" t="s">
        <v>109</v>
      </c>
      <c r="M701" s="187" t="s">
        <v>1203</v>
      </c>
      <c r="N701" s="200">
        <v>16.5</v>
      </c>
      <c r="O701" s="200"/>
      <c r="P701" s="231" t="str">
        <f>VLOOKUP(Ruimtestaat[[#This Row],[Ruimte code]],Ruimtegroepen[#All],4,FALSE)</f>
        <v>B  (Bureauruimte)</v>
      </c>
      <c r="Q701" s="201"/>
      <c r="R701" s="202">
        <v>42</v>
      </c>
      <c r="S701" s="202" t="s">
        <v>2</v>
      </c>
      <c r="T701" s="202">
        <f>IF(R701&gt;0,IF(RIGHT(Ruimtestaat[[#This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01" s="202">
        <f>IF(T701&gt;0,VLOOKUP($J701,Ruimtegroepen[],3,FALSE)*VLOOKUP($L701,Vloersoorten[],3,FALSE)*VLOOKUP($S701,Frequenties[],3,FALSE)*VLOOKUP($A701,Locaties[],3,FALSE),0)</f>
        <v>0</v>
      </c>
      <c r="V701" s="202">
        <f>Ruimtestaat[[#This Row],[Uitvoeringen werkdagen]]*Ruimtestaat[[#This Row],[Oppervlak (netto)]]</f>
        <v>3465</v>
      </c>
      <c r="W701" s="242">
        <f>IF(U701&gt;0,Ruimtestaat[[#This Row],[Prest. (m2 /jaar) werkdagen]]/Ruimtestaat[[#This Row],[Norm (m2/uur) werkdagen]],0)</f>
        <v>0</v>
      </c>
      <c r="X701" s="243">
        <f>Ruimtestaat[[#This Row],[uren / jaar werkdagen]]*Tariefsopbouw!$D$38</f>
        <v>0</v>
      </c>
      <c r="Y701" s="33"/>
      <c r="Z701" s="33">
        <f>IF(Ruimtestaat[[#This Row],[Frequentie weekend]]&gt;0,VALUE(LEFT(Y701,1))*R701,0)</f>
        <v>0</v>
      </c>
      <c r="AA701" s="33">
        <f>IF($Z701&gt;0,VLOOKUP($J701,Ruimtegroepen[],3,FALSE)*VLOOKUP($L701,Vloersoorten[],3,FALSE)*VLOOKUP($Y701,Frequenties[],3,FALSE)*VLOOKUP(#REF!,Locaties[],3,FALSE),0)</f>
        <v>0</v>
      </c>
      <c r="AB701" s="33"/>
      <c r="AC701" s="33"/>
      <c r="AD701" s="33">
        <f>Ruimtestaat[[#This Row],[uren / jaar weekend]]*Tariefsopbouw!$D$40</f>
        <v>0</v>
      </c>
      <c r="AE701" s="86">
        <f>Ruimtestaat[[#This Row],[Prest. (m2 /jaar) weekend]]+Ruimtestaat[[#This Row],[Prest. (m2 /jaar) werkdagen]]</f>
        <v>3465</v>
      </c>
      <c r="AF701" s="86">
        <f>Ruimtestaat[[#This Row],[uren / jaar weekend]]+Ruimtestaat[[#This Row],[uren / jaar werkdagen]]</f>
        <v>0</v>
      </c>
      <c r="AG701" s="87">
        <f>Ruimtestaat[[#This Row],[kosten / jaar weekend]]+Ruimtestaat[[#This Row],[kosten / jaar werkdagen]]</f>
        <v>0</v>
      </c>
    </row>
    <row r="702" spans="1:33" ht="15" customHeight="1">
      <c r="A702" s="187">
        <v>5</v>
      </c>
      <c r="B702" s="21" t="str">
        <f>VLOOKUP(Ruimtestaat[[#This Row],[Code]],Locaties[#All],2,FALSE)</f>
        <v>Potskamp</v>
      </c>
      <c r="C702" s="231" t="str">
        <f>VLOOKUP(Ruimtestaat[[#This Row],[Code]],Locaties[#All],4,FALSE)</f>
        <v>Potskampstraat 2</v>
      </c>
      <c r="D702" s="231" t="str">
        <f>VLOOKUP(Ruimtestaat[[#This Row],[Code]],Locaties[#All],5,FALSE)</f>
        <v>7573 CC</v>
      </c>
      <c r="E702" s="187" t="str">
        <f>VLOOKUP(Ruimtestaat[[#This Row],[Code]],Locaties[#All],6,FALSE)</f>
        <v>Oldenzaal</v>
      </c>
      <c r="F702" s="232"/>
      <c r="G702" s="187">
        <v>1</v>
      </c>
      <c r="H702" s="187">
        <v>17</v>
      </c>
      <c r="I702" s="232" t="s">
        <v>604</v>
      </c>
      <c r="J702" s="187">
        <v>16</v>
      </c>
      <c r="K702" s="187" t="str">
        <f>VLOOKUP(Ruimtestaat[[#This Row],[Ruimte code]],Ruimtegroepen[#All],2,FALSE)</f>
        <v>Leslokalen/computerlokaal</v>
      </c>
      <c r="L702" s="231" t="s">
        <v>677</v>
      </c>
      <c r="M702" s="187" t="s">
        <v>1200</v>
      </c>
      <c r="N702" s="200">
        <v>50</v>
      </c>
      <c r="O702" s="200"/>
      <c r="P702" s="231" t="str">
        <f>VLOOKUP(Ruimtestaat[[#This Row],[Ruimte code]],Ruimtegroepen[#All],4,FALSE)</f>
        <v>L  (Lesruimte)</v>
      </c>
      <c r="Q702" s="201"/>
      <c r="R702" s="202">
        <v>42</v>
      </c>
      <c r="S702" s="202" t="s">
        <v>2</v>
      </c>
      <c r="T702" s="202">
        <f>IF(R702&gt;0,IF(RIGHT(Ruimtestaat[[#This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02" s="202">
        <f>IF(T702&gt;0,VLOOKUP($J702,Ruimtegroepen[],3,FALSE)*VLOOKUP($L702,Vloersoorten[],3,FALSE)*VLOOKUP($S702,Frequenties[],3,FALSE)*VLOOKUP($A702,Locaties[],3,FALSE),0)</f>
        <v>0</v>
      </c>
      <c r="V702" s="202">
        <f>Ruimtestaat[[#This Row],[Uitvoeringen werkdagen]]*Ruimtestaat[[#This Row],[Oppervlak (netto)]]</f>
        <v>10500</v>
      </c>
      <c r="W702" s="242">
        <f>IF(U702&gt;0,Ruimtestaat[[#This Row],[Prest. (m2 /jaar) werkdagen]]/Ruimtestaat[[#This Row],[Norm (m2/uur) werkdagen]],0)</f>
        <v>0</v>
      </c>
      <c r="X702" s="243">
        <f>Ruimtestaat[[#This Row],[uren / jaar werkdagen]]*Tariefsopbouw!$D$38</f>
        <v>0</v>
      </c>
      <c r="Y702" s="33"/>
      <c r="Z702" s="33">
        <f>IF(Ruimtestaat[[#This Row],[Frequentie weekend]]&gt;0,VALUE(LEFT(Y702,1))*R702,0)</f>
        <v>0</v>
      </c>
      <c r="AA702" s="33">
        <f>IF($Z702&gt;0,VLOOKUP($J702,Ruimtegroepen[],3,FALSE)*VLOOKUP($L702,Vloersoorten[],3,FALSE)*VLOOKUP($Y702,Frequenties[],3,FALSE)*VLOOKUP(#REF!,Locaties[],3,FALSE),0)</f>
        <v>0</v>
      </c>
      <c r="AB702" s="33"/>
      <c r="AC702" s="33"/>
      <c r="AD702" s="33">
        <f>Ruimtestaat[[#This Row],[uren / jaar weekend]]*Tariefsopbouw!$D$40</f>
        <v>0</v>
      </c>
      <c r="AE702" s="86">
        <f>Ruimtestaat[[#This Row],[Prest. (m2 /jaar) weekend]]+Ruimtestaat[[#This Row],[Prest. (m2 /jaar) werkdagen]]</f>
        <v>10500</v>
      </c>
      <c r="AF702" s="86">
        <f>Ruimtestaat[[#This Row],[uren / jaar weekend]]+Ruimtestaat[[#This Row],[uren / jaar werkdagen]]</f>
        <v>0</v>
      </c>
      <c r="AG702" s="87">
        <f>Ruimtestaat[[#This Row],[kosten / jaar weekend]]+Ruimtestaat[[#This Row],[kosten / jaar werkdagen]]</f>
        <v>0</v>
      </c>
    </row>
    <row r="703" spans="1:33" ht="15" customHeight="1">
      <c r="A703" s="187">
        <v>5</v>
      </c>
      <c r="B703" s="21" t="str">
        <f>VLOOKUP(Ruimtestaat[[#This Row],[Code]],Locaties[#All],2,FALSE)</f>
        <v>Potskamp</v>
      </c>
      <c r="C703" s="231" t="str">
        <f>VLOOKUP(Ruimtestaat[[#This Row],[Code]],Locaties[#All],4,FALSE)</f>
        <v>Potskampstraat 2</v>
      </c>
      <c r="D703" s="231" t="str">
        <f>VLOOKUP(Ruimtestaat[[#This Row],[Code]],Locaties[#All],5,FALSE)</f>
        <v>7573 CC</v>
      </c>
      <c r="E703" s="187" t="str">
        <f>VLOOKUP(Ruimtestaat[[#This Row],[Code]],Locaties[#All],6,FALSE)</f>
        <v>Oldenzaal</v>
      </c>
      <c r="F703" s="232"/>
      <c r="G703" s="187">
        <v>1</v>
      </c>
      <c r="H703" s="187">
        <v>18</v>
      </c>
      <c r="I703" s="232" t="s">
        <v>604</v>
      </c>
      <c r="J703" s="187">
        <v>16</v>
      </c>
      <c r="K703" s="187" t="str">
        <f>VLOOKUP(Ruimtestaat[[#This Row],[Ruimte code]],Ruimtegroepen[#All],2,FALSE)</f>
        <v>Leslokalen/computerlokaal</v>
      </c>
      <c r="L703" s="231" t="s">
        <v>677</v>
      </c>
      <c r="M703" s="187" t="s">
        <v>1200</v>
      </c>
      <c r="N703" s="200">
        <v>46</v>
      </c>
      <c r="O703" s="200"/>
      <c r="P703" s="231" t="str">
        <f>VLOOKUP(Ruimtestaat[[#This Row],[Ruimte code]],Ruimtegroepen[#All],4,FALSE)</f>
        <v>L  (Lesruimte)</v>
      </c>
      <c r="Q703" s="201"/>
      <c r="R703" s="202">
        <v>42</v>
      </c>
      <c r="S703" s="202" t="s">
        <v>2</v>
      </c>
      <c r="T703" s="202">
        <f>IF(R703&gt;0,IF(RIGHT(Ruimtestaat[[#This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03" s="202">
        <f>IF(T703&gt;0,VLOOKUP($J703,Ruimtegroepen[],3,FALSE)*VLOOKUP($L703,Vloersoorten[],3,FALSE)*VLOOKUP($S703,Frequenties[],3,FALSE)*VLOOKUP($A703,Locaties[],3,FALSE),0)</f>
        <v>0</v>
      </c>
      <c r="V703" s="202">
        <f>Ruimtestaat[[#This Row],[Uitvoeringen werkdagen]]*Ruimtestaat[[#This Row],[Oppervlak (netto)]]</f>
        <v>9660</v>
      </c>
      <c r="W703" s="242">
        <f>IF(U703&gt;0,Ruimtestaat[[#This Row],[Prest. (m2 /jaar) werkdagen]]/Ruimtestaat[[#This Row],[Norm (m2/uur) werkdagen]],0)</f>
        <v>0</v>
      </c>
      <c r="X703" s="243">
        <f>Ruimtestaat[[#This Row],[uren / jaar werkdagen]]*Tariefsopbouw!$D$38</f>
        <v>0</v>
      </c>
      <c r="Y703" s="33"/>
      <c r="Z703" s="33">
        <f>IF(Ruimtestaat[[#This Row],[Frequentie weekend]]&gt;0,VALUE(LEFT(Y703,1))*R703,0)</f>
        <v>0</v>
      </c>
      <c r="AA703" s="33">
        <f>IF($Z703&gt;0,VLOOKUP($J703,Ruimtegroepen[],3,FALSE)*VLOOKUP($L703,Vloersoorten[],3,FALSE)*VLOOKUP($Y703,Frequenties[],3,FALSE)*VLOOKUP(#REF!,Locaties[],3,FALSE),0)</f>
        <v>0</v>
      </c>
      <c r="AB703" s="33"/>
      <c r="AC703" s="33"/>
      <c r="AD703" s="33">
        <f>Ruimtestaat[[#This Row],[uren / jaar weekend]]*Tariefsopbouw!$D$40</f>
        <v>0</v>
      </c>
      <c r="AE703" s="86">
        <f>Ruimtestaat[[#This Row],[Prest. (m2 /jaar) weekend]]+Ruimtestaat[[#This Row],[Prest. (m2 /jaar) werkdagen]]</f>
        <v>9660</v>
      </c>
      <c r="AF703" s="86">
        <f>Ruimtestaat[[#This Row],[uren / jaar weekend]]+Ruimtestaat[[#This Row],[uren / jaar werkdagen]]</f>
        <v>0</v>
      </c>
      <c r="AG703" s="87">
        <f>Ruimtestaat[[#This Row],[kosten / jaar weekend]]+Ruimtestaat[[#This Row],[kosten / jaar werkdagen]]</f>
        <v>0</v>
      </c>
    </row>
    <row r="704" spans="1:33" ht="15" customHeight="1">
      <c r="A704" s="187">
        <v>5</v>
      </c>
      <c r="B704" s="21" t="str">
        <f>VLOOKUP(Ruimtestaat[[#This Row],[Code]],Locaties[#All],2,FALSE)</f>
        <v>Potskamp</v>
      </c>
      <c r="C704" s="231" t="str">
        <f>VLOOKUP(Ruimtestaat[[#This Row],[Code]],Locaties[#All],4,FALSE)</f>
        <v>Potskampstraat 2</v>
      </c>
      <c r="D704" s="231" t="str">
        <f>VLOOKUP(Ruimtestaat[[#This Row],[Code]],Locaties[#All],5,FALSE)</f>
        <v>7573 CC</v>
      </c>
      <c r="E704" s="187" t="str">
        <f>VLOOKUP(Ruimtestaat[[#This Row],[Code]],Locaties[#All],6,FALSE)</f>
        <v>Oldenzaal</v>
      </c>
      <c r="F704" s="232"/>
      <c r="G704" s="187">
        <v>1</v>
      </c>
      <c r="H704" s="187">
        <v>19</v>
      </c>
      <c r="I704" s="232" t="s">
        <v>604</v>
      </c>
      <c r="J704" s="187">
        <v>16</v>
      </c>
      <c r="K704" s="187" t="str">
        <f>VLOOKUP(Ruimtestaat[[#This Row],[Ruimte code]],Ruimtegroepen[#All],2,FALSE)</f>
        <v>Leslokalen/computerlokaal</v>
      </c>
      <c r="L704" s="231" t="s">
        <v>677</v>
      </c>
      <c r="M704" s="187" t="s">
        <v>1200</v>
      </c>
      <c r="N704" s="200">
        <v>54</v>
      </c>
      <c r="O704" s="200"/>
      <c r="P704" s="231" t="str">
        <f>VLOOKUP(Ruimtestaat[[#This Row],[Ruimte code]],Ruimtegroepen[#All],4,FALSE)</f>
        <v>L  (Lesruimte)</v>
      </c>
      <c r="Q704" s="201"/>
      <c r="R704" s="202">
        <v>42</v>
      </c>
      <c r="S704" s="202" t="s">
        <v>2</v>
      </c>
      <c r="T704" s="202">
        <f>IF(R704&gt;0,IF(RIGHT(Ruimtestaat[[#This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04" s="202">
        <f>IF(T704&gt;0,VLOOKUP($J704,Ruimtegroepen[],3,FALSE)*VLOOKUP($L704,Vloersoorten[],3,FALSE)*VLOOKUP($S704,Frequenties[],3,FALSE)*VLOOKUP($A704,Locaties[],3,FALSE),0)</f>
        <v>0</v>
      </c>
      <c r="V704" s="202">
        <f>Ruimtestaat[[#This Row],[Uitvoeringen werkdagen]]*Ruimtestaat[[#This Row],[Oppervlak (netto)]]</f>
        <v>11340</v>
      </c>
      <c r="W704" s="242">
        <f>IF(U704&gt;0,Ruimtestaat[[#This Row],[Prest. (m2 /jaar) werkdagen]]/Ruimtestaat[[#This Row],[Norm (m2/uur) werkdagen]],0)</f>
        <v>0</v>
      </c>
      <c r="X704" s="243">
        <f>Ruimtestaat[[#This Row],[uren / jaar werkdagen]]*Tariefsopbouw!$D$38</f>
        <v>0</v>
      </c>
      <c r="Y704" s="33"/>
      <c r="Z704" s="33">
        <f>IF(Ruimtestaat[[#This Row],[Frequentie weekend]]&gt;0,VALUE(LEFT(Y704,1))*R704,0)</f>
        <v>0</v>
      </c>
      <c r="AA704" s="33">
        <f>IF($Z704&gt;0,VLOOKUP($J704,Ruimtegroepen[],3,FALSE)*VLOOKUP($L704,Vloersoorten[],3,FALSE)*VLOOKUP($Y704,Frequenties[],3,FALSE)*VLOOKUP(#REF!,Locaties[],3,FALSE),0)</f>
        <v>0</v>
      </c>
      <c r="AB704" s="33"/>
      <c r="AC704" s="33"/>
      <c r="AD704" s="33">
        <f>Ruimtestaat[[#This Row],[uren / jaar weekend]]*Tariefsopbouw!$D$40</f>
        <v>0</v>
      </c>
      <c r="AE704" s="86">
        <f>Ruimtestaat[[#This Row],[Prest. (m2 /jaar) weekend]]+Ruimtestaat[[#This Row],[Prest. (m2 /jaar) werkdagen]]</f>
        <v>11340</v>
      </c>
      <c r="AF704" s="86">
        <f>Ruimtestaat[[#This Row],[uren / jaar weekend]]+Ruimtestaat[[#This Row],[uren / jaar werkdagen]]</f>
        <v>0</v>
      </c>
      <c r="AG704" s="87">
        <f>Ruimtestaat[[#This Row],[kosten / jaar weekend]]+Ruimtestaat[[#This Row],[kosten / jaar werkdagen]]</f>
        <v>0</v>
      </c>
    </row>
    <row r="705" spans="1:33" ht="15" customHeight="1">
      <c r="A705" s="187">
        <v>5</v>
      </c>
      <c r="B705" s="21" t="str">
        <f>VLOOKUP(Ruimtestaat[[#This Row],[Code]],Locaties[#All],2,FALSE)</f>
        <v>Potskamp</v>
      </c>
      <c r="C705" s="231" t="str">
        <f>VLOOKUP(Ruimtestaat[[#This Row],[Code]],Locaties[#All],4,FALSE)</f>
        <v>Potskampstraat 2</v>
      </c>
      <c r="D705" s="231" t="str">
        <f>VLOOKUP(Ruimtestaat[[#This Row],[Code]],Locaties[#All],5,FALSE)</f>
        <v>7573 CC</v>
      </c>
      <c r="E705" s="187" t="str">
        <f>VLOOKUP(Ruimtestaat[[#This Row],[Code]],Locaties[#All],6,FALSE)</f>
        <v>Oldenzaal</v>
      </c>
      <c r="F705" s="232"/>
      <c r="G705" s="187">
        <v>1</v>
      </c>
      <c r="H705" s="187" t="s">
        <v>799</v>
      </c>
      <c r="I705" s="232" t="s">
        <v>604</v>
      </c>
      <c r="J705" s="187">
        <v>16</v>
      </c>
      <c r="K705" s="187" t="str">
        <f>VLOOKUP(Ruimtestaat[[#This Row],[Ruimte code]],Ruimtegroepen[#All],2,FALSE)</f>
        <v>Leslokalen/computerlokaal</v>
      </c>
      <c r="L705" s="231" t="s">
        <v>677</v>
      </c>
      <c r="M705" s="187" t="s">
        <v>1200</v>
      </c>
      <c r="N705" s="200">
        <v>62</v>
      </c>
      <c r="O705" s="200"/>
      <c r="P705" s="231" t="str">
        <f>VLOOKUP(Ruimtestaat[[#This Row],[Ruimte code]],Ruimtegroepen[#All],4,FALSE)</f>
        <v>L  (Lesruimte)</v>
      </c>
      <c r="Q705" s="201"/>
      <c r="R705" s="202">
        <v>42</v>
      </c>
      <c r="S705" s="202" t="s">
        <v>2</v>
      </c>
      <c r="T705" s="202">
        <f>IF(R705&gt;0,IF(RIGHT(Ruimtestaat[[#This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05" s="202">
        <f>IF(T705&gt;0,VLOOKUP($J705,Ruimtegroepen[],3,FALSE)*VLOOKUP($L705,Vloersoorten[],3,FALSE)*VLOOKUP($S705,Frequenties[],3,FALSE)*VLOOKUP($A705,Locaties[],3,FALSE),0)</f>
        <v>0</v>
      </c>
      <c r="V705" s="202">
        <f>Ruimtestaat[[#This Row],[Uitvoeringen werkdagen]]*Ruimtestaat[[#This Row],[Oppervlak (netto)]]</f>
        <v>13020</v>
      </c>
      <c r="W705" s="242">
        <f>IF(U705&gt;0,Ruimtestaat[[#This Row],[Prest. (m2 /jaar) werkdagen]]/Ruimtestaat[[#This Row],[Norm (m2/uur) werkdagen]],0)</f>
        <v>0</v>
      </c>
      <c r="X705" s="243">
        <f>Ruimtestaat[[#This Row],[uren / jaar werkdagen]]*Tariefsopbouw!$D$38</f>
        <v>0</v>
      </c>
      <c r="Y705" s="33"/>
      <c r="Z705" s="33">
        <f>IF(Ruimtestaat[[#This Row],[Frequentie weekend]]&gt;0,VALUE(LEFT(Y705,1))*R705,0)</f>
        <v>0</v>
      </c>
      <c r="AA705" s="33">
        <f>IF($Z705&gt;0,VLOOKUP($J705,Ruimtegroepen[],3,FALSE)*VLOOKUP($L705,Vloersoorten[],3,FALSE)*VLOOKUP($Y705,Frequenties[],3,FALSE)*VLOOKUP(#REF!,Locaties[],3,FALSE),0)</f>
        <v>0</v>
      </c>
      <c r="AB705" s="33"/>
      <c r="AC705" s="33"/>
      <c r="AD705" s="33">
        <f>Ruimtestaat[[#This Row],[uren / jaar weekend]]*Tariefsopbouw!$D$40</f>
        <v>0</v>
      </c>
      <c r="AE705" s="86">
        <f>Ruimtestaat[[#This Row],[Prest. (m2 /jaar) weekend]]+Ruimtestaat[[#This Row],[Prest. (m2 /jaar) werkdagen]]</f>
        <v>13020</v>
      </c>
      <c r="AF705" s="86">
        <f>Ruimtestaat[[#This Row],[uren / jaar weekend]]+Ruimtestaat[[#This Row],[uren / jaar werkdagen]]</f>
        <v>0</v>
      </c>
      <c r="AG705" s="87">
        <f>Ruimtestaat[[#This Row],[kosten / jaar weekend]]+Ruimtestaat[[#This Row],[kosten / jaar werkdagen]]</f>
        <v>0</v>
      </c>
    </row>
    <row r="706" spans="1:33" ht="15" customHeight="1">
      <c r="A706" s="187">
        <v>5</v>
      </c>
      <c r="B706" s="21" t="str">
        <f>VLOOKUP(Ruimtestaat[[#This Row],[Code]],Locaties[#All],2,FALSE)</f>
        <v>Potskamp</v>
      </c>
      <c r="C706" s="231" t="str">
        <f>VLOOKUP(Ruimtestaat[[#This Row],[Code]],Locaties[#All],4,FALSE)</f>
        <v>Potskampstraat 2</v>
      </c>
      <c r="D706" s="231" t="str">
        <f>VLOOKUP(Ruimtestaat[[#This Row],[Code]],Locaties[#All],5,FALSE)</f>
        <v>7573 CC</v>
      </c>
      <c r="E706" s="187" t="str">
        <f>VLOOKUP(Ruimtestaat[[#This Row],[Code]],Locaties[#All],6,FALSE)</f>
        <v>Oldenzaal</v>
      </c>
      <c r="F706" s="232"/>
      <c r="G706" s="187">
        <v>2</v>
      </c>
      <c r="H706" s="187" t="s">
        <v>800</v>
      </c>
      <c r="I706" s="232" t="s">
        <v>698</v>
      </c>
      <c r="J706" s="187">
        <v>5</v>
      </c>
      <c r="K706" s="187" t="str">
        <f>VLOOKUP(Ruimtestaat[[#This Row],[Ruimte code]],Ruimtegroepen[#All],2,FALSE)</f>
        <v>Sanitair</v>
      </c>
      <c r="L706" s="231" t="s">
        <v>677</v>
      </c>
      <c r="M706" s="187" t="s">
        <v>1201</v>
      </c>
      <c r="N706" s="200">
        <v>4.2699999999999996</v>
      </c>
      <c r="O706" s="200"/>
      <c r="P706" s="231" t="str">
        <f>VLOOKUP(Ruimtestaat[[#This Row],[Ruimte code]],Ruimtegroepen[#All],4,FALSE)</f>
        <v>S  (Sanitair)</v>
      </c>
      <c r="Q706" s="201"/>
      <c r="R706" s="202">
        <v>42</v>
      </c>
      <c r="S706" s="202" t="s">
        <v>19</v>
      </c>
      <c r="T706" s="202">
        <f>IF(R706&gt;0,IF(RIGHT(Ruimtestaat[[#This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706" s="202">
        <f>IF(T706&gt;0,VLOOKUP($J706,Ruimtegroepen[],3,FALSE)*VLOOKUP($L706,Vloersoorten[],3,FALSE)*VLOOKUP($S706,Frequenties[],3,FALSE)*VLOOKUP($A706,Locaties[],3,FALSE),0)</f>
        <v>0</v>
      </c>
      <c r="V706" s="202">
        <f>Ruimtestaat[[#This Row],[Uitvoeringen werkdagen]]*Ruimtestaat[[#This Row],[Oppervlak (netto)]]</f>
        <v>1793.3999999999999</v>
      </c>
      <c r="W706" s="242">
        <f>IF(U706&gt;0,Ruimtestaat[[#This Row],[Prest. (m2 /jaar) werkdagen]]/Ruimtestaat[[#This Row],[Norm (m2/uur) werkdagen]],0)</f>
        <v>0</v>
      </c>
      <c r="X706" s="243">
        <f>Ruimtestaat[[#This Row],[uren / jaar werkdagen]]*Tariefsopbouw!$D$38</f>
        <v>0</v>
      </c>
      <c r="Y706" s="33"/>
      <c r="Z706" s="33">
        <f>IF(Ruimtestaat[[#This Row],[Frequentie weekend]]&gt;0,VALUE(LEFT(Y706,1))*R706,0)</f>
        <v>0</v>
      </c>
      <c r="AA706" s="33">
        <f>IF($Z706&gt;0,VLOOKUP($J706,Ruimtegroepen[],3,FALSE)*VLOOKUP($L706,Vloersoorten[],3,FALSE)*VLOOKUP($Y706,Frequenties[],3,FALSE)*VLOOKUP(#REF!,Locaties[],3,FALSE),0)</f>
        <v>0</v>
      </c>
      <c r="AB706" s="33"/>
      <c r="AC706" s="33"/>
      <c r="AD706" s="33">
        <f>Ruimtestaat[[#This Row],[uren / jaar weekend]]*Tariefsopbouw!$D$40</f>
        <v>0</v>
      </c>
      <c r="AE706" s="86">
        <f>Ruimtestaat[[#This Row],[Prest. (m2 /jaar) weekend]]+Ruimtestaat[[#This Row],[Prest. (m2 /jaar) werkdagen]]</f>
        <v>1793.3999999999999</v>
      </c>
      <c r="AF706" s="86">
        <f>Ruimtestaat[[#This Row],[uren / jaar weekend]]+Ruimtestaat[[#This Row],[uren / jaar werkdagen]]</f>
        <v>0</v>
      </c>
      <c r="AG706" s="87">
        <f>Ruimtestaat[[#This Row],[kosten / jaar weekend]]+Ruimtestaat[[#This Row],[kosten / jaar werkdagen]]</f>
        <v>0</v>
      </c>
    </row>
    <row r="707" spans="1:33" ht="15" customHeight="1">
      <c r="A707" s="187">
        <v>5</v>
      </c>
      <c r="B707" s="21" t="str">
        <f>VLOOKUP(Ruimtestaat[[#This Row],[Code]],Locaties[#All],2,FALSE)</f>
        <v>Potskamp</v>
      </c>
      <c r="C707" s="231" t="str">
        <f>VLOOKUP(Ruimtestaat[[#This Row],[Code]],Locaties[#All],4,FALSE)</f>
        <v>Potskampstraat 2</v>
      </c>
      <c r="D707" s="231" t="str">
        <f>VLOOKUP(Ruimtestaat[[#This Row],[Code]],Locaties[#All],5,FALSE)</f>
        <v>7573 CC</v>
      </c>
      <c r="E707" s="187" t="str">
        <f>VLOOKUP(Ruimtestaat[[#This Row],[Code]],Locaties[#All],6,FALSE)</f>
        <v>Oldenzaal</v>
      </c>
      <c r="F707" s="232"/>
      <c r="G707" s="187">
        <v>2</v>
      </c>
      <c r="H707" s="187" t="s">
        <v>801</v>
      </c>
      <c r="I707" s="232" t="s">
        <v>698</v>
      </c>
      <c r="J707" s="187">
        <v>5</v>
      </c>
      <c r="K707" s="187" t="str">
        <f>VLOOKUP(Ruimtestaat[[#This Row],[Ruimte code]],Ruimtegroepen[#All],2,FALSE)</f>
        <v>Sanitair</v>
      </c>
      <c r="L707" s="231" t="s">
        <v>677</v>
      </c>
      <c r="M707" s="187" t="s">
        <v>1201</v>
      </c>
      <c r="N707" s="200">
        <v>2.97</v>
      </c>
      <c r="O707" s="200"/>
      <c r="P707" s="231" t="str">
        <f>VLOOKUP(Ruimtestaat[[#This Row],[Ruimte code]],Ruimtegroepen[#All],4,FALSE)</f>
        <v>S  (Sanitair)</v>
      </c>
      <c r="Q707" s="201"/>
      <c r="R707" s="202">
        <v>42</v>
      </c>
      <c r="S707" s="202" t="s">
        <v>19</v>
      </c>
      <c r="T707" s="202">
        <f>IF(R707&gt;0,IF(RIGHT(Ruimtestaat[[#This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707" s="202">
        <f>IF(T707&gt;0,VLOOKUP($J707,Ruimtegroepen[],3,FALSE)*VLOOKUP($L707,Vloersoorten[],3,FALSE)*VLOOKUP($S707,Frequenties[],3,FALSE)*VLOOKUP($A707,Locaties[],3,FALSE),0)</f>
        <v>0</v>
      </c>
      <c r="V707" s="202">
        <f>Ruimtestaat[[#This Row],[Uitvoeringen werkdagen]]*Ruimtestaat[[#This Row],[Oppervlak (netto)]]</f>
        <v>1247.4000000000001</v>
      </c>
      <c r="W707" s="242">
        <f>IF(U707&gt;0,Ruimtestaat[[#This Row],[Prest. (m2 /jaar) werkdagen]]/Ruimtestaat[[#This Row],[Norm (m2/uur) werkdagen]],0)</f>
        <v>0</v>
      </c>
      <c r="X707" s="243">
        <f>Ruimtestaat[[#This Row],[uren / jaar werkdagen]]*Tariefsopbouw!$D$38</f>
        <v>0</v>
      </c>
      <c r="Y707" s="33"/>
      <c r="Z707" s="33">
        <f>IF(Ruimtestaat[[#This Row],[Frequentie weekend]]&gt;0,VALUE(LEFT(Y707,1))*R707,0)</f>
        <v>0</v>
      </c>
      <c r="AA707" s="33">
        <f>IF($Z707&gt;0,VLOOKUP($J707,Ruimtegroepen[],3,FALSE)*VLOOKUP($L707,Vloersoorten[],3,FALSE)*VLOOKUP($Y707,Frequenties[],3,FALSE)*VLOOKUP(#REF!,Locaties[],3,FALSE),0)</f>
        <v>0</v>
      </c>
      <c r="AB707" s="33"/>
      <c r="AC707" s="33"/>
      <c r="AD707" s="33">
        <f>Ruimtestaat[[#This Row],[uren / jaar weekend]]*Tariefsopbouw!$D$40</f>
        <v>0</v>
      </c>
      <c r="AE707" s="86">
        <f>Ruimtestaat[[#This Row],[Prest. (m2 /jaar) weekend]]+Ruimtestaat[[#This Row],[Prest. (m2 /jaar) werkdagen]]</f>
        <v>1247.4000000000001</v>
      </c>
      <c r="AF707" s="86">
        <f>Ruimtestaat[[#This Row],[uren / jaar weekend]]+Ruimtestaat[[#This Row],[uren / jaar werkdagen]]</f>
        <v>0</v>
      </c>
      <c r="AG707" s="87">
        <f>Ruimtestaat[[#This Row],[kosten / jaar weekend]]+Ruimtestaat[[#This Row],[kosten / jaar werkdagen]]</f>
        <v>0</v>
      </c>
    </row>
    <row r="708" spans="1:33" ht="15" customHeight="1">
      <c r="A708" s="187">
        <v>6</v>
      </c>
      <c r="B708" s="21" t="str">
        <f>VLOOKUP(Ruimtestaat[[#This Row],[Code]],Locaties[#All],2,FALSE)</f>
        <v>De Thij</v>
      </c>
      <c r="C708" s="231" t="str">
        <f>VLOOKUP(Ruimtestaat[[#This Row],[Code]],Locaties[#All],4,FALSE)</f>
        <v>Thijlaan 30</v>
      </c>
      <c r="D708" s="231" t="str">
        <f>VLOOKUP(Ruimtestaat[[#This Row],[Code]],Locaties[#All],5,FALSE)</f>
        <v>7576 ZB</v>
      </c>
      <c r="E708" s="187" t="str">
        <f>VLOOKUP(Ruimtestaat[[#This Row],[Code]],Locaties[#All],6,FALSE)</f>
        <v>Oldenzaal</v>
      </c>
      <c r="F708" s="232"/>
      <c r="G708" s="187" t="s">
        <v>679</v>
      </c>
      <c r="H708" s="187" t="s">
        <v>407</v>
      </c>
      <c r="I708" s="232" t="s">
        <v>802</v>
      </c>
      <c r="J708" s="187">
        <v>14</v>
      </c>
      <c r="K708" s="187" t="str">
        <f>VLOOKUP(Ruimtestaat[[#This Row],[Ruimte code]],Ruimtegroepen[#All],2,FALSE)</f>
        <v>Praktijklokalen/kabinet</v>
      </c>
      <c r="L708" s="231" t="s">
        <v>677</v>
      </c>
      <c r="M708" s="187" t="s">
        <v>270</v>
      </c>
      <c r="N708" s="200">
        <v>68</v>
      </c>
      <c r="O708" s="200"/>
      <c r="P708" s="231" t="str">
        <f>VLOOKUP(Ruimtestaat[[#This Row],[Ruimte code]],Ruimtegroepen[#All],4,FALSE)</f>
        <v>L  (Lesruimte)</v>
      </c>
      <c r="Q708" s="201"/>
      <c r="R708" s="202">
        <v>42</v>
      </c>
      <c r="S708" s="202" t="s">
        <v>2</v>
      </c>
      <c r="T708" s="202">
        <f>IF(R708&gt;0,IF(RIGHT(Ruimtestaat[[#This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08" s="202">
        <f>IF(T708&gt;0,VLOOKUP($J708,Ruimtegroepen[],3,FALSE)*VLOOKUP($L708,Vloersoorten[],3,FALSE)*VLOOKUP($S708,Frequenties[],3,FALSE)*VLOOKUP($A708,Locaties[],3,FALSE),0)</f>
        <v>0</v>
      </c>
      <c r="V708" s="202">
        <f>Ruimtestaat[[#This Row],[Uitvoeringen werkdagen]]*Ruimtestaat[[#This Row],[Oppervlak (netto)]]</f>
        <v>14280</v>
      </c>
      <c r="W708" s="242">
        <f>IF(U708&gt;0,Ruimtestaat[[#This Row],[Prest. (m2 /jaar) werkdagen]]/Ruimtestaat[[#This Row],[Norm (m2/uur) werkdagen]],0)</f>
        <v>0</v>
      </c>
      <c r="X708" s="243">
        <f>Ruimtestaat[[#This Row],[uren / jaar werkdagen]]*Tariefsopbouw!$D$38</f>
        <v>0</v>
      </c>
      <c r="Y708" s="33"/>
      <c r="Z708" s="33">
        <f>IF(Ruimtestaat[[#This Row],[Frequentie weekend]]&gt;0,VALUE(LEFT(Y708,1))*R708,0)</f>
        <v>0</v>
      </c>
      <c r="AA708" s="33">
        <f>IF($Z708&gt;0,VLOOKUP($J708,Ruimtegroepen[],3,FALSE)*VLOOKUP($L708,Vloersoorten[],3,FALSE)*VLOOKUP($Y708,Frequenties[],3,FALSE)*VLOOKUP(#REF!,Locaties[],3,FALSE),0)</f>
        <v>0</v>
      </c>
      <c r="AB708" s="33"/>
      <c r="AC708" s="33"/>
      <c r="AD708" s="33">
        <f>Ruimtestaat[[#This Row],[uren / jaar weekend]]*Tariefsopbouw!$D$40</f>
        <v>0</v>
      </c>
      <c r="AE708" s="86">
        <f>Ruimtestaat[[#This Row],[Prest. (m2 /jaar) weekend]]+Ruimtestaat[[#This Row],[Prest. (m2 /jaar) werkdagen]]</f>
        <v>14280</v>
      </c>
      <c r="AF708" s="86">
        <f>Ruimtestaat[[#This Row],[uren / jaar weekend]]+Ruimtestaat[[#This Row],[uren / jaar werkdagen]]</f>
        <v>0</v>
      </c>
      <c r="AG708" s="87">
        <f>Ruimtestaat[[#This Row],[kosten / jaar weekend]]+Ruimtestaat[[#This Row],[kosten / jaar werkdagen]]</f>
        <v>0</v>
      </c>
    </row>
    <row r="709" spans="1:33" ht="15" customHeight="1">
      <c r="A709" s="187">
        <v>6</v>
      </c>
      <c r="B709" s="21" t="str">
        <f>VLOOKUP(Ruimtestaat[[#This Row],[Code]],Locaties[#All],2,FALSE)</f>
        <v>De Thij</v>
      </c>
      <c r="C709" s="231" t="str">
        <f>VLOOKUP(Ruimtestaat[[#This Row],[Code]],Locaties[#All],4,FALSE)</f>
        <v>Thijlaan 30</v>
      </c>
      <c r="D709" s="231" t="str">
        <f>VLOOKUP(Ruimtestaat[[#This Row],[Code]],Locaties[#All],5,FALSE)</f>
        <v>7576 ZB</v>
      </c>
      <c r="E709" s="187" t="str">
        <f>VLOOKUP(Ruimtestaat[[#This Row],[Code]],Locaties[#All],6,FALSE)</f>
        <v>Oldenzaal</v>
      </c>
      <c r="F709" s="232"/>
      <c r="G709" s="187" t="s">
        <v>679</v>
      </c>
      <c r="H709" s="187" t="s">
        <v>408</v>
      </c>
      <c r="I709" s="232" t="s">
        <v>388</v>
      </c>
      <c r="J709" s="187">
        <v>9</v>
      </c>
      <c r="K709" s="187" t="str">
        <f>VLOOKUP(Ruimtestaat[[#This Row],[Ruimte code]],Ruimtegroepen[#All],2,FALSE)</f>
        <v>Bibliotheek / OLC</v>
      </c>
      <c r="L709" s="231" t="s">
        <v>677</v>
      </c>
      <c r="M709" s="187" t="s">
        <v>270</v>
      </c>
      <c r="N709" s="200">
        <v>156</v>
      </c>
      <c r="O709" s="200"/>
      <c r="P709" s="231" t="str">
        <f>VLOOKUP(Ruimtestaat[[#This Row],[Ruimte code]],Ruimtegroepen[#All],4,FALSE)</f>
        <v>L  (Lesruimte)</v>
      </c>
      <c r="Q709" s="201"/>
      <c r="R709" s="202">
        <v>42</v>
      </c>
      <c r="S709" s="202" t="s">
        <v>2</v>
      </c>
      <c r="T709" s="202">
        <f>IF(R709&gt;0,IF(RIGHT(Ruimtestaat[[#This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09" s="202">
        <f>IF(T709&gt;0,VLOOKUP($J709,Ruimtegroepen[],3,FALSE)*VLOOKUP($L709,Vloersoorten[],3,FALSE)*VLOOKUP($S709,Frequenties[],3,FALSE)*VLOOKUP($A709,Locaties[],3,FALSE),0)</f>
        <v>0</v>
      </c>
      <c r="V709" s="202">
        <f>Ruimtestaat[[#This Row],[Uitvoeringen werkdagen]]*Ruimtestaat[[#This Row],[Oppervlak (netto)]]</f>
        <v>32760</v>
      </c>
      <c r="W709" s="242">
        <f>IF(U709&gt;0,Ruimtestaat[[#This Row],[Prest. (m2 /jaar) werkdagen]]/Ruimtestaat[[#This Row],[Norm (m2/uur) werkdagen]],0)</f>
        <v>0</v>
      </c>
      <c r="X709" s="243">
        <f>Ruimtestaat[[#This Row],[uren / jaar werkdagen]]*Tariefsopbouw!$D$38</f>
        <v>0</v>
      </c>
      <c r="Y709" s="33"/>
      <c r="Z709" s="33">
        <f>IF(Ruimtestaat[[#This Row],[Frequentie weekend]]&gt;0,VALUE(LEFT(Y709,1))*R709,0)</f>
        <v>0</v>
      </c>
      <c r="AA709" s="33">
        <f>IF($Z709&gt;0,VLOOKUP($J709,Ruimtegroepen[],3,FALSE)*VLOOKUP($L709,Vloersoorten[],3,FALSE)*VLOOKUP($Y709,Frequenties[],3,FALSE)*VLOOKUP(#REF!,Locaties[],3,FALSE),0)</f>
        <v>0</v>
      </c>
      <c r="AB709" s="33"/>
      <c r="AC709" s="33"/>
      <c r="AD709" s="33">
        <f>Ruimtestaat[[#This Row],[uren / jaar weekend]]*Tariefsopbouw!$D$40</f>
        <v>0</v>
      </c>
      <c r="AE709" s="86">
        <f>Ruimtestaat[[#This Row],[Prest. (m2 /jaar) weekend]]+Ruimtestaat[[#This Row],[Prest. (m2 /jaar) werkdagen]]</f>
        <v>32760</v>
      </c>
      <c r="AF709" s="86">
        <f>Ruimtestaat[[#This Row],[uren / jaar weekend]]+Ruimtestaat[[#This Row],[uren / jaar werkdagen]]</f>
        <v>0</v>
      </c>
      <c r="AG709" s="87">
        <f>Ruimtestaat[[#This Row],[kosten / jaar weekend]]+Ruimtestaat[[#This Row],[kosten / jaar werkdagen]]</f>
        <v>0</v>
      </c>
    </row>
    <row r="710" spans="1:33" ht="15" customHeight="1">
      <c r="A710" s="187">
        <v>6</v>
      </c>
      <c r="B710" s="21" t="str">
        <f>VLOOKUP(Ruimtestaat[[#This Row],[Code]],Locaties[#All],2,FALSE)</f>
        <v>De Thij</v>
      </c>
      <c r="C710" s="231" t="str">
        <f>VLOOKUP(Ruimtestaat[[#This Row],[Code]],Locaties[#All],4,FALSE)</f>
        <v>Thijlaan 30</v>
      </c>
      <c r="D710" s="231" t="str">
        <f>VLOOKUP(Ruimtestaat[[#This Row],[Code]],Locaties[#All],5,FALSE)</f>
        <v>7576 ZB</v>
      </c>
      <c r="E710" s="187" t="str">
        <f>VLOOKUP(Ruimtestaat[[#This Row],[Code]],Locaties[#All],6,FALSE)</f>
        <v>Oldenzaal</v>
      </c>
      <c r="F710" s="232"/>
      <c r="G710" s="187" t="s">
        <v>679</v>
      </c>
      <c r="H710" s="187" t="s">
        <v>803</v>
      </c>
      <c r="I710" s="232" t="s">
        <v>635</v>
      </c>
      <c r="J710" s="231">
        <v>6</v>
      </c>
      <c r="K710" s="231" t="str">
        <f>VLOOKUP(Ruimtestaat[[#This Row],[Ruimte code]],Ruimtegroepen[#All],2,FALSE)</f>
        <v>Gangen/hallen</v>
      </c>
      <c r="L710" s="231" t="s">
        <v>677</v>
      </c>
      <c r="M710" s="187" t="s">
        <v>270</v>
      </c>
      <c r="N710" s="200">
        <v>20.02</v>
      </c>
      <c r="O710" s="200"/>
      <c r="P710" s="231" t="str">
        <f>VLOOKUP(Ruimtestaat[[#This Row],[Ruimte code]],Ruimtegroepen[#All],4,FALSE)</f>
        <v>V  (Verkeersruimte)</v>
      </c>
      <c r="Q710" s="201"/>
      <c r="R710" s="202">
        <v>42</v>
      </c>
      <c r="S710" s="202" t="s">
        <v>15</v>
      </c>
      <c r="T710" s="202">
        <f>IF(R710&gt;0,IF(RIGHT(Ruimtestaat[[#This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710" s="202">
        <f>IF(T710&gt;0,VLOOKUP($J710,Ruimtegroepen[],3,FALSE)*VLOOKUP($L710,Vloersoorten[],3,FALSE)*VLOOKUP($S710,Frequenties[],3,FALSE)*VLOOKUP($A710,Locaties[],3,FALSE),0)</f>
        <v>0</v>
      </c>
      <c r="V710" s="202">
        <f>Ruimtestaat[[#This Row],[Uitvoeringen werkdagen]]*Ruimtestaat[[#This Row],[Oppervlak (netto)]]</f>
        <v>840.84</v>
      </c>
      <c r="W710" s="242">
        <f>IF(U710&gt;0,Ruimtestaat[[#This Row],[Prest. (m2 /jaar) werkdagen]]/Ruimtestaat[[#This Row],[Norm (m2/uur) werkdagen]],0)</f>
        <v>0</v>
      </c>
      <c r="X710" s="243">
        <f>Ruimtestaat[[#This Row],[uren / jaar werkdagen]]*Tariefsopbouw!$D$38</f>
        <v>0</v>
      </c>
      <c r="Y710" s="33"/>
      <c r="Z710" s="33">
        <f>IF(Ruimtestaat[[#This Row],[Frequentie weekend]]&gt;0,VALUE(LEFT(Y710,1))*R710,0)</f>
        <v>0</v>
      </c>
      <c r="AA710" s="33">
        <f>IF($Z710&gt;0,VLOOKUP($J710,Ruimtegroepen[],3,FALSE)*VLOOKUP($L710,Vloersoorten[],3,FALSE)*VLOOKUP($Y710,Frequenties[],3,FALSE)*VLOOKUP(#REF!,Locaties[],3,FALSE),0)</f>
        <v>0</v>
      </c>
      <c r="AB710" s="33"/>
      <c r="AC710" s="33"/>
      <c r="AD710" s="33">
        <f>Ruimtestaat[[#This Row],[uren / jaar weekend]]*Tariefsopbouw!$D$40</f>
        <v>0</v>
      </c>
      <c r="AE710" s="86">
        <f>Ruimtestaat[[#This Row],[Prest. (m2 /jaar) weekend]]+Ruimtestaat[[#This Row],[Prest. (m2 /jaar) werkdagen]]</f>
        <v>840.84</v>
      </c>
      <c r="AF710" s="86">
        <f>Ruimtestaat[[#This Row],[uren / jaar weekend]]+Ruimtestaat[[#This Row],[uren / jaar werkdagen]]</f>
        <v>0</v>
      </c>
      <c r="AG710" s="87">
        <f>Ruimtestaat[[#This Row],[kosten / jaar weekend]]+Ruimtestaat[[#This Row],[kosten / jaar werkdagen]]</f>
        <v>0</v>
      </c>
    </row>
    <row r="711" spans="1:33" ht="15" customHeight="1">
      <c r="A711" s="187">
        <v>6</v>
      </c>
      <c r="B711" s="21" t="str">
        <f>VLOOKUP(Ruimtestaat[[#This Row],[Code]],Locaties[#All],2,FALSE)</f>
        <v>De Thij</v>
      </c>
      <c r="C711" s="231" t="str">
        <f>VLOOKUP(Ruimtestaat[[#This Row],[Code]],Locaties[#All],4,FALSE)</f>
        <v>Thijlaan 30</v>
      </c>
      <c r="D711" s="231" t="str">
        <f>VLOOKUP(Ruimtestaat[[#This Row],[Code]],Locaties[#All],5,FALSE)</f>
        <v>7576 ZB</v>
      </c>
      <c r="E711" s="187" t="str">
        <f>VLOOKUP(Ruimtestaat[[#This Row],[Code]],Locaties[#All],6,FALSE)</f>
        <v>Oldenzaal</v>
      </c>
      <c r="F711" s="232"/>
      <c r="G711" s="187" t="s">
        <v>679</v>
      </c>
      <c r="H711" s="187" t="s">
        <v>410</v>
      </c>
      <c r="I711" s="232" t="s">
        <v>636</v>
      </c>
      <c r="J711" s="187">
        <v>1</v>
      </c>
      <c r="K711" s="187" t="str">
        <f>VLOOKUP(Ruimtestaat[[#This Row],[Ruimte code]],Ruimtegroepen[#All],2,FALSE)</f>
        <v>Magazijnen/bergingen</v>
      </c>
      <c r="L711" s="231" t="s">
        <v>677</v>
      </c>
      <c r="M711" s="187" t="s">
        <v>270</v>
      </c>
      <c r="N711" s="200">
        <v>21.85</v>
      </c>
      <c r="O711" s="200"/>
      <c r="P711" s="231" t="str">
        <f>VLOOKUP(Ruimtestaat[[#This Row],[Ruimte code]],Ruimtegroepen[#All],4,FALSE)</f>
        <v>V  (Verkeersruimte)</v>
      </c>
      <c r="Q711" s="201"/>
      <c r="R711" s="202">
        <v>42</v>
      </c>
      <c r="S711" s="202" t="s">
        <v>15</v>
      </c>
      <c r="T711" s="202">
        <f>IF(R711&gt;0,IF(RIGHT(Ruimtestaat[[#This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711" s="202">
        <f>IF(T711&gt;0,VLOOKUP($J711,Ruimtegroepen[],3,FALSE)*VLOOKUP($L711,Vloersoorten[],3,FALSE)*VLOOKUP($S711,Frequenties[],3,FALSE)*VLOOKUP($A711,Locaties[],3,FALSE),0)</f>
        <v>0</v>
      </c>
      <c r="V711" s="202">
        <f>Ruimtestaat[[#This Row],[Uitvoeringen werkdagen]]*Ruimtestaat[[#This Row],[Oppervlak (netto)]]</f>
        <v>917.7</v>
      </c>
      <c r="W711" s="242">
        <f>IF(U711&gt;0,Ruimtestaat[[#This Row],[Prest. (m2 /jaar) werkdagen]]/Ruimtestaat[[#This Row],[Norm (m2/uur) werkdagen]],0)</f>
        <v>0</v>
      </c>
      <c r="X711" s="243">
        <f>Ruimtestaat[[#This Row],[uren / jaar werkdagen]]*Tariefsopbouw!$D$38</f>
        <v>0</v>
      </c>
      <c r="Y711" s="33"/>
      <c r="Z711" s="33">
        <f>IF(Ruimtestaat[[#This Row],[Frequentie weekend]]&gt;0,VALUE(LEFT(Y711,1))*R711,0)</f>
        <v>0</v>
      </c>
      <c r="AA711" s="33">
        <f>IF($Z711&gt;0,VLOOKUP($J711,Ruimtegroepen[],3,FALSE)*VLOOKUP($L711,Vloersoorten[],3,FALSE)*VLOOKUP($Y711,Frequenties[],3,FALSE)*VLOOKUP(#REF!,Locaties[],3,FALSE),0)</f>
        <v>0</v>
      </c>
      <c r="AB711" s="33"/>
      <c r="AC711" s="33"/>
      <c r="AD711" s="33">
        <f>Ruimtestaat[[#This Row],[uren / jaar weekend]]*Tariefsopbouw!$D$40</f>
        <v>0</v>
      </c>
      <c r="AE711" s="86">
        <f>Ruimtestaat[[#This Row],[Prest. (m2 /jaar) weekend]]+Ruimtestaat[[#This Row],[Prest. (m2 /jaar) werkdagen]]</f>
        <v>917.7</v>
      </c>
      <c r="AF711" s="86">
        <f>Ruimtestaat[[#This Row],[uren / jaar weekend]]+Ruimtestaat[[#This Row],[uren / jaar werkdagen]]</f>
        <v>0</v>
      </c>
      <c r="AG711" s="87">
        <f>Ruimtestaat[[#This Row],[kosten / jaar weekend]]+Ruimtestaat[[#This Row],[kosten / jaar werkdagen]]</f>
        <v>0</v>
      </c>
    </row>
    <row r="712" spans="1:33" ht="15" customHeight="1">
      <c r="A712" s="187">
        <v>6</v>
      </c>
      <c r="B712" s="21" t="str">
        <f>VLOOKUP(Ruimtestaat[[#This Row],[Code]],Locaties[#All],2,FALSE)</f>
        <v>De Thij</v>
      </c>
      <c r="C712" s="231" t="str">
        <f>VLOOKUP(Ruimtestaat[[#This Row],[Code]],Locaties[#All],4,FALSE)</f>
        <v>Thijlaan 30</v>
      </c>
      <c r="D712" s="231" t="str">
        <f>VLOOKUP(Ruimtestaat[[#This Row],[Code]],Locaties[#All],5,FALSE)</f>
        <v>7576 ZB</v>
      </c>
      <c r="E712" s="187" t="str">
        <f>VLOOKUP(Ruimtestaat[[#This Row],[Code]],Locaties[#All],6,FALSE)</f>
        <v>Oldenzaal</v>
      </c>
      <c r="F712" s="232"/>
      <c r="G712" s="187" t="s">
        <v>679</v>
      </c>
      <c r="H712" s="187" t="s">
        <v>411</v>
      </c>
      <c r="I712" s="232" t="s">
        <v>637</v>
      </c>
      <c r="J712" s="187">
        <v>9</v>
      </c>
      <c r="K712" s="187" t="str">
        <f>VLOOKUP(Ruimtestaat[[#This Row],[Ruimte code]],Ruimtegroepen[#All],2,FALSE)</f>
        <v>Bibliotheek / OLC</v>
      </c>
      <c r="L712" s="231" t="s">
        <v>677</v>
      </c>
      <c r="M712" s="187" t="s">
        <v>270</v>
      </c>
      <c r="N712" s="200">
        <v>109.14</v>
      </c>
      <c r="O712" s="200"/>
      <c r="P712" s="231" t="str">
        <f>VLOOKUP(Ruimtestaat[[#This Row],[Ruimte code]],Ruimtegroepen[#All],4,FALSE)</f>
        <v>L  (Lesruimte)</v>
      </c>
      <c r="Q712" s="201"/>
      <c r="R712" s="202">
        <v>42</v>
      </c>
      <c r="S712" s="202" t="s">
        <v>2</v>
      </c>
      <c r="T712" s="202">
        <f>IF(R712&gt;0,IF(RIGHT(Ruimtestaat[[#This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12" s="202">
        <f>IF(T712&gt;0,VLOOKUP($J712,Ruimtegroepen[],3,FALSE)*VLOOKUP($L712,Vloersoorten[],3,FALSE)*VLOOKUP($S712,Frequenties[],3,FALSE)*VLOOKUP($A712,Locaties[],3,FALSE),0)</f>
        <v>0</v>
      </c>
      <c r="V712" s="202">
        <f>Ruimtestaat[[#This Row],[Uitvoeringen werkdagen]]*Ruimtestaat[[#This Row],[Oppervlak (netto)]]</f>
        <v>22919.4</v>
      </c>
      <c r="W712" s="242">
        <f>IF(U712&gt;0,Ruimtestaat[[#This Row],[Prest. (m2 /jaar) werkdagen]]/Ruimtestaat[[#This Row],[Norm (m2/uur) werkdagen]],0)</f>
        <v>0</v>
      </c>
      <c r="X712" s="243">
        <f>Ruimtestaat[[#This Row],[uren / jaar werkdagen]]*Tariefsopbouw!$D$38</f>
        <v>0</v>
      </c>
      <c r="Y712" s="33"/>
      <c r="Z712" s="33">
        <f>IF(Ruimtestaat[[#This Row],[Frequentie weekend]]&gt;0,VALUE(LEFT(Y712,1))*R712,0)</f>
        <v>0</v>
      </c>
      <c r="AA712" s="33">
        <f>IF($Z712&gt;0,VLOOKUP($J712,Ruimtegroepen[],3,FALSE)*VLOOKUP($L712,Vloersoorten[],3,FALSE)*VLOOKUP($Y712,Frequenties[],3,FALSE)*VLOOKUP(#REF!,Locaties[],3,FALSE),0)</f>
        <v>0</v>
      </c>
      <c r="AB712" s="33"/>
      <c r="AC712" s="33"/>
      <c r="AD712" s="33">
        <f>Ruimtestaat[[#This Row],[uren / jaar weekend]]*Tariefsopbouw!$D$40</f>
        <v>0</v>
      </c>
      <c r="AE712" s="86">
        <f>Ruimtestaat[[#This Row],[Prest. (m2 /jaar) weekend]]+Ruimtestaat[[#This Row],[Prest. (m2 /jaar) werkdagen]]</f>
        <v>22919.4</v>
      </c>
      <c r="AF712" s="86">
        <f>Ruimtestaat[[#This Row],[uren / jaar weekend]]+Ruimtestaat[[#This Row],[uren / jaar werkdagen]]</f>
        <v>0</v>
      </c>
      <c r="AG712" s="87">
        <f>Ruimtestaat[[#This Row],[kosten / jaar weekend]]+Ruimtestaat[[#This Row],[kosten / jaar werkdagen]]</f>
        <v>0</v>
      </c>
    </row>
    <row r="713" spans="1:33" ht="15" customHeight="1">
      <c r="A713" s="187">
        <v>6</v>
      </c>
      <c r="B713" s="21" t="str">
        <f>VLOOKUP(Ruimtestaat[[#This Row],[Code]],Locaties[#All],2,FALSE)</f>
        <v>De Thij</v>
      </c>
      <c r="C713" s="231" t="str">
        <f>VLOOKUP(Ruimtestaat[[#This Row],[Code]],Locaties[#All],4,FALSE)</f>
        <v>Thijlaan 30</v>
      </c>
      <c r="D713" s="231" t="str">
        <f>VLOOKUP(Ruimtestaat[[#This Row],[Code]],Locaties[#All],5,FALSE)</f>
        <v>7576 ZB</v>
      </c>
      <c r="E713" s="187" t="str">
        <f>VLOOKUP(Ruimtestaat[[#This Row],[Code]],Locaties[#All],6,FALSE)</f>
        <v>Oldenzaal</v>
      </c>
      <c r="F713" s="232"/>
      <c r="G713" s="187" t="s">
        <v>679</v>
      </c>
      <c r="H713" s="187" t="s">
        <v>412</v>
      </c>
      <c r="I713" s="232" t="s">
        <v>804</v>
      </c>
      <c r="J713" s="231">
        <v>16</v>
      </c>
      <c r="K713" s="231" t="str">
        <f>VLOOKUP(Ruimtestaat[[#This Row],[Ruimte code]],Ruimtegroepen[#All],2,FALSE)</f>
        <v>Leslokalen/computerlokaal</v>
      </c>
      <c r="L713" s="231" t="s">
        <v>1204</v>
      </c>
      <c r="M713" s="187" t="s">
        <v>1205</v>
      </c>
      <c r="N713" s="200">
        <v>48.1</v>
      </c>
      <c r="O713" s="200"/>
      <c r="P713" s="231" t="str">
        <f>VLOOKUP(Ruimtestaat[[#This Row],[Ruimte code]],Ruimtegroepen[#All],4,FALSE)</f>
        <v>L  (Lesruimte)</v>
      </c>
      <c r="Q713" s="201"/>
      <c r="R713" s="202">
        <v>42</v>
      </c>
      <c r="S713" s="202" t="s">
        <v>2</v>
      </c>
      <c r="T713" s="202">
        <f>IF(R713&gt;0,IF(RIGHT(Ruimtestaat[[#This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13" s="202">
        <f>IF(T713&gt;0,VLOOKUP($J713,Ruimtegroepen[],3,FALSE)*VLOOKUP($L713,Vloersoorten[],3,FALSE)*VLOOKUP($S713,Frequenties[],3,FALSE)*VLOOKUP($A713,Locaties[],3,FALSE),0)</f>
        <v>0</v>
      </c>
      <c r="V713" s="202">
        <f>Ruimtestaat[[#This Row],[Uitvoeringen werkdagen]]*Ruimtestaat[[#This Row],[Oppervlak (netto)]]</f>
        <v>10101</v>
      </c>
      <c r="W713" s="242">
        <f>IF(U713&gt;0,Ruimtestaat[[#This Row],[Prest. (m2 /jaar) werkdagen]]/Ruimtestaat[[#This Row],[Norm (m2/uur) werkdagen]],0)</f>
        <v>0</v>
      </c>
      <c r="X713" s="243">
        <f>Ruimtestaat[[#This Row],[uren / jaar werkdagen]]*Tariefsopbouw!$D$38</f>
        <v>0</v>
      </c>
      <c r="Y713" s="33"/>
      <c r="Z713" s="33">
        <f>IF(Ruimtestaat[[#This Row],[Frequentie weekend]]&gt;0,VALUE(LEFT(Y713,1))*R713,0)</f>
        <v>0</v>
      </c>
      <c r="AA713" s="33">
        <f>IF($Z713&gt;0,VLOOKUP($J713,Ruimtegroepen[],3,FALSE)*VLOOKUP($L713,Vloersoorten[],3,FALSE)*VLOOKUP($Y713,Frequenties[],3,FALSE)*VLOOKUP(#REF!,Locaties[],3,FALSE),0)</f>
        <v>0</v>
      </c>
      <c r="AB713" s="33"/>
      <c r="AC713" s="33"/>
      <c r="AD713" s="33">
        <f>Ruimtestaat[[#This Row],[uren / jaar weekend]]*Tariefsopbouw!$D$40</f>
        <v>0</v>
      </c>
      <c r="AE713" s="86">
        <f>Ruimtestaat[[#This Row],[Prest. (m2 /jaar) weekend]]+Ruimtestaat[[#This Row],[Prest. (m2 /jaar) werkdagen]]</f>
        <v>10101</v>
      </c>
      <c r="AF713" s="86">
        <f>Ruimtestaat[[#This Row],[uren / jaar weekend]]+Ruimtestaat[[#This Row],[uren / jaar werkdagen]]</f>
        <v>0</v>
      </c>
      <c r="AG713" s="87">
        <f>Ruimtestaat[[#This Row],[kosten / jaar weekend]]+Ruimtestaat[[#This Row],[kosten / jaar werkdagen]]</f>
        <v>0</v>
      </c>
    </row>
    <row r="714" spans="1:33" ht="15" customHeight="1">
      <c r="A714" s="187">
        <v>6</v>
      </c>
      <c r="B714" s="21" t="str">
        <f>VLOOKUP(Ruimtestaat[[#This Row],[Code]],Locaties[#All],2,FALSE)</f>
        <v>De Thij</v>
      </c>
      <c r="C714" s="231" t="str">
        <f>VLOOKUP(Ruimtestaat[[#This Row],[Code]],Locaties[#All],4,FALSE)</f>
        <v>Thijlaan 30</v>
      </c>
      <c r="D714" s="231" t="str">
        <f>VLOOKUP(Ruimtestaat[[#This Row],[Code]],Locaties[#All],5,FALSE)</f>
        <v>7576 ZB</v>
      </c>
      <c r="E714" s="187" t="str">
        <f>VLOOKUP(Ruimtestaat[[#This Row],[Code]],Locaties[#All],6,FALSE)</f>
        <v>Oldenzaal</v>
      </c>
      <c r="F714" s="232"/>
      <c r="G714" s="187" t="s">
        <v>679</v>
      </c>
      <c r="H714" s="187" t="s">
        <v>413</v>
      </c>
      <c r="I714" s="232" t="s">
        <v>637</v>
      </c>
      <c r="J714" s="187">
        <v>9</v>
      </c>
      <c r="K714" s="187" t="str">
        <f>VLOOKUP(Ruimtestaat[[#This Row],[Ruimte code]],Ruimtegroepen[#All],2,FALSE)</f>
        <v>Bibliotheek / OLC</v>
      </c>
      <c r="L714" s="231" t="s">
        <v>677</v>
      </c>
      <c r="M714" s="187" t="s">
        <v>270</v>
      </c>
      <c r="N714" s="200">
        <v>58.39</v>
      </c>
      <c r="O714" s="200"/>
      <c r="P714" s="231" t="str">
        <f>VLOOKUP(Ruimtestaat[[#This Row],[Ruimte code]],Ruimtegroepen[#All],4,FALSE)</f>
        <v>L  (Lesruimte)</v>
      </c>
      <c r="Q714" s="201"/>
      <c r="R714" s="202">
        <v>42</v>
      </c>
      <c r="S714" s="202" t="s">
        <v>2</v>
      </c>
      <c r="T714" s="202">
        <f>IF(R714&gt;0,IF(RIGHT(Ruimtestaat[[#This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14" s="202">
        <f>IF(T714&gt;0,VLOOKUP($J714,Ruimtegroepen[],3,FALSE)*VLOOKUP($L714,Vloersoorten[],3,FALSE)*VLOOKUP($S714,Frequenties[],3,FALSE)*VLOOKUP($A714,Locaties[],3,FALSE),0)</f>
        <v>0</v>
      </c>
      <c r="V714" s="202">
        <f>Ruimtestaat[[#This Row],[Uitvoeringen werkdagen]]*Ruimtestaat[[#This Row],[Oppervlak (netto)]]</f>
        <v>12261.9</v>
      </c>
      <c r="W714" s="242">
        <f>IF(U714&gt;0,Ruimtestaat[[#This Row],[Prest. (m2 /jaar) werkdagen]]/Ruimtestaat[[#This Row],[Norm (m2/uur) werkdagen]],0)</f>
        <v>0</v>
      </c>
      <c r="X714" s="243">
        <f>Ruimtestaat[[#This Row],[uren / jaar werkdagen]]*Tariefsopbouw!$D$38</f>
        <v>0</v>
      </c>
      <c r="Y714" s="33"/>
      <c r="Z714" s="33">
        <f>IF(Ruimtestaat[[#This Row],[Frequentie weekend]]&gt;0,VALUE(LEFT(Y714,1))*R714,0)</f>
        <v>0</v>
      </c>
      <c r="AA714" s="33">
        <f>IF($Z714&gt;0,VLOOKUP($J714,Ruimtegroepen[],3,FALSE)*VLOOKUP($L714,Vloersoorten[],3,FALSE)*VLOOKUP($Y714,Frequenties[],3,FALSE)*VLOOKUP(#REF!,Locaties[],3,FALSE),0)</f>
        <v>0</v>
      </c>
      <c r="AB714" s="33"/>
      <c r="AC714" s="33"/>
      <c r="AD714" s="33">
        <f>Ruimtestaat[[#This Row],[uren / jaar weekend]]*Tariefsopbouw!$D$40</f>
        <v>0</v>
      </c>
      <c r="AE714" s="86">
        <f>Ruimtestaat[[#This Row],[Prest. (m2 /jaar) weekend]]+Ruimtestaat[[#This Row],[Prest. (m2 /jaar) werkdagen]]</f>
        <v>12261.9</v>
      </c>
      <c r="AF714" s="86">
        <f>Ruimtestaat[[#This Row],[uren / jaar weekend]]+Ruimtestaat[[#This Row],[uren / jaar werkdagen]]</f>
        <v>0</v>
      </c>
      <c r="AG714" s="87">
        <f>Ruimtestaat[[#This Row],[kosten / jaar weekend]]+Ruimtestaat[[#This Row],[kosten / jaar werkdagen]]</f>
        <v>0</v>
      </c>
    </row>
    <row r="715" spans="1:33" ht="15" customHeight="1">
      <c r="A715" s="187">
        <v>6</v>
      </c>
      <c r="B715" s="21" t="str">
        <f>VLOOKUP(Ruimtestaat[[#This Row],[Code]],Locaties[#All],2,FALSE)</f>
        <v>De Thij</v>
      </c>
      <c r="C715" s="231" t="str">
        <f>VLOOKUP(Ruimtestaat[[#This Row],[Code]],Locaties[#All],4,FALSE)</f>
        <v>Thijlaan 30</v>
      </c>
      <c r="D715" s="231" t="str">
        <f>VLOOKUP(Ruimtestaat[[#This Row],[Code]],Locaties[#All],5,FALSE)</f>
        <v>7576 ZB</v>
      </c>
      <c r="E715" s="187" t="str">
        <f>VLOOKUP(Ruimtestaat[[#This Row],[Code]],Locaties[#All],6,FALSE)</f>
        <v>Oldenzaal</v>
      </c>
      <c r="F715" s="232"/>
      <c r="G715" s="187" t="s">
        <v>679</v>
      </c>
      <c r="H715" s="187" t="s">
        <v>415</v>
      </c>
      <c r="I715" s="232" t="s">
        <v>804</v>
      </c>
      <c r="J715" s="187">
        <v>16</v>
      </c>
      <c r="K715" s="187" t="str">
        <f>VLOOKUP(Ruimtestaat[[#This Row],[Ruimte code]],Ruimtegroepen[#All],2,FALSE)</f>
        <v>Leslokalen/computerlokaal</v>
      </c>
      <c r="L715" s="231" t="s">
        <v>1204</v>
      </c>
      <c r="M715" s="187" t="s">
        <v>1205</v>
      </c>
      <c r="N715" s="200">
        <v>68.08</v>
      </c>
      <c r="O715" s="200"/>
      <c r="P715" s="231" t="str">
        <f>VLOOKUP(Ruimtestaat[[#This Row],[Ruimte code]],Ruimtegroepen[#All],4,FALSE)</f>
        <v>L  (Lesruimte)</v>
      </c>
      <c r="Q715" s="201"/>
      <c r="R715" s="202">
        <v>42</v>
      </c>
      <c r="S715" s="202" t="s">
        <v>2</v>
      </c>
      <c r="T715" s="202">
        <f>IF(R715&gt;0,IF(RIGHT(Ruimtestaat[[#This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15" s="202">
        <f>IF(T715&gt;0,VLOOKUP($J715,Ruimtegroepen[],3,FALSE)*VLOOKUP($L715,Vloersoorten[],3,FALSE)*VLOOKUP($S715,Frequenties[],3,FALSE)*VLOOKUP($A715,Locaties[],3,FALSE),0)</f>
        <v>0</v>
      </c>
      <c r="V715" s="202">
        <f>Ruimtestaat[[#This Row],[Uitvoeringen werkdagen]]*Ruimtestaat[[#This Row],[Oppervlak (netto)]]</f>
        <v>14296.8</v>
      </c>
      <c r="W715" s="242">
        <f>IF(U715&gt;0,Ruimtestaat[[#This Row],[Prest. (m2 /jaar) werkdagen]]/Ruimtestaat[[#This Row],[Norm (m2/uur) werkdagen]],0)</f>
        <v>0</v>
      </c>
      <c r="X715" s="243">
        <f>Ruimtestaat[[#This Row],[uren / jaar werkdagen]]*Tariefsopbouw!$D$38</f>
        <v>0</v>
      </c>
      <c r="Y715" s="33"/>
      <c r="Z715" s="33">
        <f>IF(Ruimtestaat[[#This Row],[Frequentie weekend]]&gt;0,VALUE(LEFT(Y715,1))*R715,0)</f>
        <v>0</v>
      </c>
      <c r="AA715" s="33">
        <f>IF($Z715&gt;0,VLOOKUP($J715,Ruimtegroepen[],3,FALSE)*VLOOKUP($L715,Vloersoorten[],3,FALSE)*VLOOKUP($Y715,Frequenties[],3,FALSE)*VLOOKUP(#REF!,Locaties[],3,FALSE),0)</f>
        <v>0</v>
      </c>
      <c r="AB715" s="33"/>
      <c r="AC715" s="33"/>
      <c r="AD715" s="33">
        <f>Ruimtestaat[[#This Row],[uren / jaar weekend]]*Tariefsopbouw!$D$40</f>
        <v>0</v>
      </c>
      <c r="AE715" s="86">
        <f>Ruimtestaat[[#This Row],[Prest. (m2 /jaar) weekend]]+Ruimtestaat[[#This Row],[Prest. (m2 /jaar) werkdagen]]</f>
        <v>14296.8</v>
      </c>
      <c r="AF715" s="86">
        <f>Ruimtestaat[[#This Row],[uren / jaar weekend]]+Ruimtestaat[[#This Row],[uren / jaar werkdagen]]</f>
        <v>0</v>
      </c>
      <c r="AG715" s="87">
        <f>Ruimtestaat[[#This Row],[kosten / jaar weekend]]+Ruimtestaat[[#This Row],[kosten / jaar werkdagen]]</f>
        <v>0</v>
      </c>
    </row>
    <row r="716" spans="1:33" ht="15" customHeight="1">
      <c r="A716" s="187">
        <v>6</v>
      </c>
      <c r="B716" s="21" t="str">
        <f>VLOOKUP(Ruimtestaat[[#This Row],[Code]],Locaties[#All],2,FALSE)</f>
        <v>De Thij</v>
      </c>
      <c r="C716" s="231" t="str">
        <f>VLOOKUP(Ruimtestaat[[#This Row],[Code]],Locaties[#All],4,FALSE)</f>
        <v>Thijlaan 30</v>
      </c>
      <c r="D716" s="231" t="str">
        <f>VLOOKUP(Ruimtestaat[[#This Row],[Code]],Locaties[#All],5,FALSE)</f>
        <v>7576 ZB</v>
      </c>
      <c r="E716" s="187" t="str">
        <f>VLOOKUP(Ruimtestaat[[#This Row],[Code]],Locaties[#All],6,FALSE)</f>
        <v>Oldenzaal</v>
      </c>
      <c r="F716" s="232"/>
      <c r="G716" s="187" t="s">
        <v>679</v>
      </c>
      <c r="H716" s="187" t="s">
        <v>416</v>
      </c>
      <c r="I716" s="232" t="s">
        <v>804</v>
      </c>
      <c r="J716" s="231">
        <v>16</v>
      </c>
      <c r="K716" s="231" t="str">
        <f>VLOOKUP(Ruimtestaat[[#This Row],[Ruimte code]],Ruimtegroepen[#All],2,FALSE)</f>
        <v>Leslokalen/computerlokaal</v>
      </c>
      <c r="L716" s="231" t="s">
        <v>1204</v>
      </c>
      <c r="M716" s="187" t="s">
        <v>1205</v>
      </c>
      <c r="N716" s="200">
        <v>61.05</v>
      </c>
      <c r="O716" s="200"/>
      <c r="P716" s="231" t="str">
        <f>VLOOKUP(Ruimtestaat[[#This Row],[Ruimte code]],Ruimtegroepen[#All],4,FALSE)</f>
        <v>L  (Lesruimte)</v>
      </c>
      <c r="Q716" s="201"/>
      <c r="R716" s="202">
        <v>42</v>
      </c>
      <c r="S716" s="202" t="s">
        <v>2</v>
      </c>
      <c r="T716" s="202">
        <f>IF(R716&gt;0,IF(RIGHT(Ruimtestaat[[#This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16" s="202">
        <f>IF(T716&gt;0,VLOOKUP($J716,Ruimtegroepen[],3,FALSE)*VLOOKUP($L716,Vloersoorten[],3,FALSE)*VLOOKUP($S716,Frequenties[],3,FALSE)*VLOOKUP($A716,Locaties[],3,FALSE),0)</f>
        <v>0</v>
      </c>
      <c r="V716" s="202">
        <f>Ruimtestaat[[#This Row],[Uitvoeringen werkdagen]]*Ruimtestaat[[#This Row],[Oppervlak (netto)]]</f>
        <v>12820.5</v>
      </c>
      <c r="W716" s="242">
        <f>IF(U716&gt;0,Ruimtestaat[[#This Row],[Prest. (m2 /jaar) werkdagen]]/Ruimtestaat[[#This Row],[Norm (m2/uur) werkdagen]],0)</f>
        <v>0</v>
      </c>
      <c r="X716" s="243">
        <f>Ruimtestaat[[#This Row],[uren / jaar werkdagen]]*Tariefsopbouw!$D$38</f>
        <v>0</v>
      </c>
      <c r="Y716" s="33"/>
      <c r="Z716" s="33">
        <f>IF(Ruimtestaat[[#This Row],[Frequentie weekend]]&gt;0,VALUE(LEFT(Y716,1))*R716,0)</f>
        <v>0</v>
      </c>
      <c r="AA716" s="33">
        <f>IF($Z716&gt;0,VLOOKUP($J716,Ruimtegroepen[],3,FALSE)*VLOOKUP($L716,Vloersoorten[],3,FALSE)*VLOOKUP($Y716,Frequenties[],3,FALSE)*VLOOKUP(#REF!,Locaties[],3,FALSE),0)</f>
        <v>0</v>
      </c>
      <c r="AB716" s="33"/>
      <c r="AC716" s="33"/>
      <c r="AD716" s="33">
        <f>Ruimtestaat[[#This Row],[uren / jaar weekend]]*Tariefsopbouw!$D$40</f>
        <v>0</v>
      </c>
      <c r="AE716" s="86">
        <f>Ruimtestaat[[#This Row],[Prest. (m2 /jaar) weekend]]+Ruimtestaat[[#This Row],[Prest. (m2 /jaar) werkdagen]]</f>
        <v>12820.5</v>
      </c>
      <c r="AF716" s="86">
        <f>Ruimtestaat[[#This Row],[uren / jaar weekend]]+Ruimtestaat[[#This Row],[uren / jaar werkdagen]]</f>
        <v>0</v>
      </c>
      <c r="AG716" s="87">
        <f>Ruimtestaat[[#This Row],[kosten / jaar weekend]]+Ruimtestaat[[#This Row],[kosten / jaar werkdagen]]</f>
        <v>0</v>
      </c>
    </row>
    <row r="717" spans="1:33" ht="15" customHeight="1">
      <c r="A717" s="187">
        <v>6</v>
      </c>
      <c r="B717" s="21" t="str">
        <f>VLOOKUP(Ruimtestaat[[#This Row],[Code]],Locaties[#All],2,FALSE)</f>
        <v>De Thij</v>
      </c>
      <c r="C717" s="231" t="str">
        <f>VLOOKUP(Ruimtestaat[[#This Row],[Code]],Locaties[#All],4,FALSE)</f>
        <v>Thijlaan 30</v>
      </c>
      <c r="D717" s="231" t="str">
        <f>VLOOKUP(Ruimtestaat[[#This Row],[Code]],Locaties[#All],5,FALSE)</f>
        <v>7576 ZB</v>
      </c>
      <c r="E717" s="187" t="str">
        <f>VLOOKUP(Ruimtestaat[[#This Row],[Code]],Locaties[#All],6,FALSE)</f>
        <v>Oldenzaal</v>
      </c>
      <c r="F717" s="232"/>
      <c r="G717" s="187" t="s">
        <v>679</v>
      </c>
      <c r="H717" s="187" t="s">
        <v>418</v>
      </c>
      <c r="I717" s="232" t="s">
        <v>637</v>
      </c>
      <c r="J717" s="231">
        <v>9</v>
      </c>
      <c r="K717" s="231" t="str">
        <f>VLOOKUP(Ruimtestaat[[#This Row],[Ruimte code]],Ruimtegroepen[#All],2,FALSE)</f>
        <v>Bibliotheek / OLC</v>
      </c>
      <c r="L717" s="231" t="s">
        <v>677</v>
      </c>
      <c r="M717" s="187" t="s">
        <v>270</v>
      </c>
      <c r="N717" s="200">
        <v>152.53</v>
      </c>
      <c r="O717" s="200"/>
      <c r="P717" s="231" t="str">
        <f>VLOOKUP(Ruimtestaat[[#This Row],[Ruimte code]],Ruimtegroepen[#All],4,FALSE)</f>
        <v>L  (Lesruimte)</v>
      </c>
      <c r="Q717" s="201"/>
      <c r="R717" s="202">
        <v>42</v>
      </c>
      <c r="S717" s="202" t="s">
        <v>2</v>
      </c>
      <c r="T717" s="202">
        <f>IF(R717&gt;0,IF(RIGHT(Ruimtestaat[[#This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17" s="202">
        <f>IF(T717&gt;0,VLOOKUP($J717,Ruimtegroepen[],3,FALSE)*VLOOKUP($L717,Vloersoorten[],3,FALSE)*VLOOKUP($S717,Frequenties[],3,FALSE)*VLOOKUP($A717,Locaties[],3,FALSE),0)</f>
        <v>0</v>
      </c>
      <c r="V717" s="202">
        <f>Ruimtestaat[[#This Row],[Uitvoeringen werkdagen]]*Ruimtestaat[[#This Row],[Oppervlak (netto)]]</f>
        <v>32031.3</v>
      </c>
      <c r="W717" s="242">
        <f>IF(U717&gt;0,Ruimtestaat[[#This Row],[Prest. (m2 /jaar) werkdagen]]/Ruimtestaat[[#This Row],[Norm (m2/uur) werkdagen]],0)</f>
        <v>0</v>
      </c>
      <c r="X717" s="243">
        <f>Ruimtestaat[[#This Row],[uren / jaar werkdagen]]*Tariefsopbouw!$D$38</f>
        <v>0</v>
      </c>
      <c r="Y717" s="33"/>
      <c r="Z717" s="33">
        <f>IF(Ruimtestaat[[#This Row],[Frequentie weekend]]&gt;0,VALUE(LEFT(Y717,1))*R717,0)</f>
        <v>0</v>
      </c>
      <c r="AA717" s="33">
        <f>IF($Z717&gt;0,VLOOKUP($J717,Ruimtegroepen[],3,FALSE)*VLOOKUP($L717,Vloersoorten[],3,FALSE)*VLOOKUP($Y717,Frequenties[],3,FALSE)*VLOOKUP(#REF!,Locaties[],3,FALSE),0)</f>
        <v>0</v>
      </c>
      <c r="AB717" s="33"/>
      <c r="AC717" s="33"/>
      <c r="AD717" s="33">
        <f>Ruimtestaat[[#This Row],[uren / jaar weekend]]*Tariefsopbouw!$D$40</f>
        <v>0</v>
      </c>
      <c r="AE717" s="86">
        <f>Ruimtestaat[[#This Row],[Prest. (m2 /jaar) weekend]]+Ruimtestaat[[#This Row],[Prest. (m2 /jaar) werkdagen]]</f>
        <v>32031.3</v>
      </c>
      <c r="AF717" s="86">
        <f>Ruimtestaat[[#This Row],[uren / jaar weekend]]+Ruimtestaat[[#This Row],[uren / jaar werkdagen]]</f>
        <v>0</v>
      </c>
      <c r="AG717" s="87">
        <f>Ruimtestaat[[#This Row],[kosten / jaar weekend]]+Ruimtestaat[[#This Row],[kosten / jaar werkdagen]]</f>
        <v>0</v>
      </c>
    </row>
    <row r="718" spans="1:33" ht="15" customHeight="1">
      <c r="A718" s="187">
        <v>6</v>
      </c>
      <c r="B718" s="21" t="str">
        <f>VLOOKUP(Ruimtestaat[[#This Row],[Code]],Locaties[#All],2,FALSE)</f>
        <v>De Thij</v>
      </c>
      <c r="C718" s="231" t="str">
        <f>VLOOKUP(Ruimtestaat[[#This Row],[Code]],Locaties[#All],4,FALSE)</f>
        <v>Thijlaan 30</v>
      </c>
      <c r="D718" s="231" t="str">
        <f>VLOOKUP(Ruimtestaat[[#This Row],[Code]],Locaties[#All],5,FALSE)</f>
        <v>7576 ZB</v>
      </c>
      <c r="E718" s="187" t="str">
        <f>VLOOKUP(Ruimtestaat[[#This Row],[Code]],Locaties[#All],6,FALSE)</f>
        <v>Oldenzaal</v>
      </c>
      <c r="F718" s="232"/>
      <c r="G718" s="187" t="s">
        <v>679</v>
      </c>
      <c r="H718" s="187" t="s">
        <v>419</v>
      </c>
      <c r="I718" s="232" t="s">
        <v>804</v>
      </c>
      <c r="J718" s="187">
        <v>16</v>
      </c>
      <c r="K718" s="187" t="str">
        <f>VLOOKUP(Ruimtestaat[[#This Row],[Ruimte code]],Ruimtegroepen[#All],2,FALSE)</f>
        <v>Leslokalen/computerlokaal</v>
      </c>
      <c r="L718" s="231" t="s">
        <v>1204</v>
      </c>
      <c r="M718" s="187" t="s">
        <v>1205</v>
      </c>
      <c r="N718" s="200">
        <v>54.91</v>
      </c>
      <c r="O718" s="200"/>
      <c r="P718" s="231" t="str">
        <f>VLOOKUP(Ruimtestaat[[#This Row],[Ruimte code]],Ruimtegroepen[#All],4,FALSE)</f>
        <v>L  (Lesruimte)</v>
      </c>
      <c r="Q718" s="201"/>
      <c r="R718" s="202">
        <v>42</v>
      </c>
      <c r="S718" s="202" t="s">
        <v>2</v>
      </c>
      <c r="T718" s="202">
        <f>IF(R718&gt;0,IF(RIGHT(Ruimtestaat[[#This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18" s="202">
        <f>IF(T718&gt;0,VLOOKUP($J718,Ruimtegroepen[],3,FALSE)*VLOOKUP($L718,Vloersoorten[],3,FALSE)*VLOOKUP($S718,Frequenties[],3,FALSE)*VLOOKUP($A718,Locaties[],3,FALSE),0)</f>
        <v>0</v>
      </c>
      <c r="V718" s="202">
        <f>Ruimtestaat[[#This Row],[Uitvoeringen werkdagen]]*Ruimtestaat[[#This Row],[Oppervlak (netto)]]</f>
        <v>11531.099999999999</v>
      </c>
      <c r="W718" s="242">
        <f>IF(U718&gt;0,Ruimtestaat[[#This Row],[Prest. (m2 /jaar) werkdagen]]/Ruimtestaat[[#This Row],[Norm (m2/uur) werkdagen]],0)</f>
        <v>0</v>
      </c>
      <c r="X718" s="243">
        <f>Ruimtestaat[[#This Row],[uren / jaar werkdagen]]*Tariefsopbouw!$D$38</f>
        <v>0</v>
      </c>
      <c r="Y718" s="33"/>
      <c r="Z718" s="33">
        <f>IF(Ruimtestaat[[#This Row],[Frequentie weekend]]&gt;0,VALUE(LEFT(Y718,1))*R718,0)</f>
        <v>0</v>
      </c>
      <c r="AA718" s="33">
        <f>IF($Z718&gt;0,VLOOKUP($J718,Ruimtegroepen[],3,FALSE)*VLOOKUP($L718,Vloersoorten[],3,FALSE)*VLOOKUP($Y718,Frequenties[],3,FALSE)*VLOOKUP(#REF!,Locaties[],3,FALSE),0)</f>
        <v>0</v>
      </c>
      <c r="AB718" s="33"/>
      <c r="AC718" s="33"/>
      <c r="AD718" s="33">
        <f>Ruimtestaat[[#This Row],[uren / jaar weekend]]*Tariefsopbouw!$D$40</f>
        <v>0</v>
      </c>
      <c r="AE718" s="86">
        <f>Ruimtestaat[[#This Row],[Prest. (m2 /jaar) weekend]]+Ruimtestaat[[#This Row],[Prest. (m2 /jaar) werkdagen]]</f>
        <v>11531.099999999999</v>
      </c>
      <c r="AF718" s="86">
        <f>Ruimtestaat[[#This Row],[uren / jaar weekend]]+Ruimtestaat[[#This Row],[uren / jaar werkdagen]]</f>
        <v>0</v>
      </c>
      <c r="AG718" s="87">
        <f>Ruimtestaat[[#This Row],[kosten / jaar weekend]]+Ruimtestaat[[#This Row],[kosten / jaar werkdagen]]</f>
        <v>0</v>
      </c>
    </row>
    <row r="719" spans="1:33" ht="15" customHeight="1">
      <c r="A719" s="187">
        <v>6</v>
      </c>
      <c r="B719" s="21" t="str">
        <f>VLOOKUP(Ruimtestaat[[#This Row],[Code]],Locaties[#All],2,FALSE)</f>
        <v>De Thij</v>
      </c>
      <c r="C719" s="231" t="str">
        <f>VLOOKUP(Ruimtestaat[[#This Row],[Code]],Locaties[#All],4,FALSE)</f>
        <v>Thijlaan 30</v>
      </c>
      <c r="D719" s="231" t="str">
        <f>VLOOKUP(Ruimtestaat[[#This Row],[Code]],Locaties[#All],5,FALSE)</f>
        <v>7576 ZB</v>
      </c>
      <c r="E719" s="187" t="str">
        <f>VLOOKUP(Ruimtestaat[[#This Row],[Code]],Locaties[#All],6,FALSE)</f>
        <v>Oldenzaal</v>
      </c>
      <c r="F719" s="232"/>
      <c r="G719" s="187" t="s">
        <v>679</v>
      </c>
      <c r="H719" s="187" t="s">
        <v>421</v>
      </c>
      <c r="I719" s="232" t="s">
        <v>581</v>
      </c>
      <c r="J719" s="187">
        <v>4</v>
      </c>
      <c r="K719" s="187" t="str">
        <f>VLOOKUP(Ruimtestaat[[#This Row],[Ruimte code]],Ruimtegroepen[#All],2,FALSE)</f>
        <v>Vergader/spreekkamers</v>
      </c>
      <c r="L719" s="231" t="s">
        <v>677</v>
      </c>
      <c r="M719" s="187" t="s">
        <v>270</v>
      </c>
      <c r="N719" s="200">
        <v>14.52</v>
      </c>
      <c r="O719" s="200"/>
      <c r="P719" s="231" t="str">
        <f>VLOOKUP(Ruimtestaat[[#This Row],[Ruimte code]],Ruimtegroepen[#All],4,FALSE)</f>
        <v>B  (Bureauruimte)</v>
      </c>
      <c r="Q719" s="201"/>
      <c r="R719" s="202">
        <v>42</v>
      </c>
      <c r="S719" s="202" t="s">
        <v>2</v>
      </c>
      <c r="T719" s="202">
        <f>IF(R719&gt;0,IF(RIGHT(Ruimtestaat[[#This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19" s="202">
        <f>IF(T719&gt;0,VLOOKUP($J719,Ruimtegroepen[],3,FALSE)*VLOOKUP($L719,Vloersoorten[],3,FALSE)*VLOOKUP($S719,Frequenties[],3,FALSE)*VLOOKUP($A719,Locaties[],3,FALSE),0)</f>
        <v>0</v>
      </c>
      <c r="V719" s="202">
        <f>Ruimtestaat[[#This Row],[Uitvoeringen werkdagen]]*Ruimtestaat[[#This Row],[Oppervlak (netto)]]</f>
        <v>3049.2</v>
      </c>
      <c r="W719" s="242">
        <f>IF(U719&gt;0,Ruimtestaat[[#This Row],[Prest. (m2 /jaar) werkdagen]]/Ruimtestaat[[#This Row],[Norm (m2/uur) werkdagen]],0)</f>
        <v>0</v>
      </c>
      <c r="X719" s="243">
        <f>Ruimtestaat[[#This Row],[uren / jaar werkdagen]]*Tariefsopbouw!$D$38</f>
        <v>0</v>
      </c>
      <c r="Y719" s="33"/>
      <c r="Z719" s="33">
        <f>IF(Ruimtestaat[[#This Row],[Frequentie weekend]]&gt;0,VALUE(LEFT(Y719,1))*R719,0)</f>
        <v>0</v>
      </c>
      <c r="AA719" s="33">
        <f>IF($Z719&gt;0,VLOOKUP($J719,Ruimtegroepen[],3,FALSE)*VLOOKUP($L719,Vloersoorten[],3,FALSE)*VLOOKUP($Y719,Frequenties[],3,FALSE)*VLOOKUP(#REF!,Locaties[],3,FALSE),0)</f>
        <v>0</v>
      </c>
      <c r="AB719" s="33"/>
      <c r="AC719" s="33"/>
      <c r="AD719" s="33">
        <f>Ruimtestaat[[#This Row],[uren / jaar weekend]]*Tariefsopbouw!$D$40</f>
        <v>0</v>
      </c>
      <c r="AE719" s="86">
        <f>Ruimtestaat[[#This Row],[Prest. (m2 /jaar) weekend]]+Ruimtestaat[[#This Row],[Prest. (m2 /jaar) werkdagen]]</f>
        <v>3049.2</v>
      </c>
      <c r="AF719" s="86">
        <f>Ruimtestaat[[#This Row],[uren / jaar weekend]]+Ruimtestaat[[#This Row],[uren / jaar werkdagen]]</f>
        <v>0</v>
      </c>
      <c r="AG719" s="87">
        <f>Ruimtestaat[[#This Row],[kosten / jaar weekend]]+Ruimtestaat[[#This Row],[kosten / jaar werkdagen]]</f>
        <v>0</v>
      </c>
    </row>
    <row r="720" spans="1:33" ht="15" customHeight="1">
      <c r="A720" s="187">
        <v>6</v>
      </c>
      <c r="B720" s="21" t="str">
        <f>VLOOKUP(Ruimtestaat[[#This Row],[Code]],Locaties[#All],2,FALSE)</f>
        <v>De Thij</v>
      </c>
      <c r="C720" s="231" t="str">
        <f>VLOOKUP(Ruimtestaat[[#This Row],[Code]],Locaties[#All],4,FALSE)</f>
        <v>Thijlaan 30</v>
      </c>
      <c r="D720" s="231" t="str">
        <f>VLOOKUP(Ruimtestaat[[#This Row],[Code]],Locaties[#All],5,FALSE)</f>
        <v>7576 ZB</v>
      </c>
      <c r="E720" s="187" t="str">
        <f>VLOOKUP(Ruimtestaat[[#This Row],[Code]],Locaties[#All],6,FALSE)</f>
        <v>Oldenzaal</v>
      </c>
      <c r="F720" s="232"/>
      <c r="G720" s="187" t="s">
        <v>679</v>
      </c>
      <c r="H720" s="187" t="s">
        <v>423</v>
      </c>
      <c r="I720" s="232" t="s">
        <v>581</v>
      </c>
      <c r="J720" s="187">
        <v>4</v>
      </c>
      <c r="K720" s="187" t="str">
        <f>VLOOKUP(Ruimtestaat[[#This Row],[Ruimte code]],Ruimtegroepen[#All],2,FALSE)</f>
        <v>Vergader/spreekkamers</v>
      </c>
      <c r="L720" s="231" t="s">
        <v>677</v>
      </c>
      <c r="M720" s="187" t="s">
        <v>270</v>
      </c>
      <c r="N720" s="200">
        <v>7.56</v>
      </c>
      <c r="O720" s="200"/>
      <c r="P720" s="231" t="str">
        <f>VLOOKUP(Ruimtestaat[[#This Row],[Ruimte code]],Ruimtegroepen[#All],4,FALSE)</f>
        <v>B  (Bureauruimte)</v>
      </c>
      <c r="Q720" s="201"/>
      <c r="R720" s="202">
        <v>42</v>
      </c>
      <c r="S720" s="202" t="s">
        <v>2</v>
      </c>
      <c r="T720" s="202">
        <f>IF(R720&gt;0,IF(RIGHT(Ruimtestaat[[#This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20" s="202">
        <f>IF(T720&gt;0,VLOOKUP($J720,Ruimtegroepen[],3,FALSE)*VLOOKUP($L720,Vloersoorten[],3,FALSE)*VLOOKUP($S720,Frequenties[],3,FALSE)*VLOOKUP($A720,Locaties[],3,FALSE),0)</f>
        <v>0</v>
      </c>
      <c r="V720" s="202">
        <f>Ruimtestaat[[#This Row],[Uitvoeringen werkdagen]]*Ruimtestaat[[#This Row],[Oppervlak (netto)]]</f>
        <v>1587.6</v>
      </c>
      <c r="W720" s="242">
        <f>IF(U720&gt;0,Ruimtestaat[[#This Row],[Prest. (m2 /jaar) werkdagen]]/Ruimtestaat[[#This Row],[Norm (m2/uur) werkdagen]],0)</f>
        <v>0</v>
      </c>
      <c r="X720" s="243">
        <f>Ruimtestaat[[#This Row],[uren / jaar werkdagen]]*Tariefsopbouw!$D$38</f>
        <v>0</v>
      </c>
      <c r="Y720" s="33"/>
      <c r="Z720" s="33">
        <f>IF(Ruimtestaat[[#This Row],[Frequentie weekend]]&gt;0,VALUE(LEFT(Y720,1))*R720,0)</f>
        <v>0</v>
      </c>
      <c r="AA720" s="33">
        <f>IF($Z720&gt;0,VLOOKUP($J720,Ruimtegroepen[],3,FALSE)*VLOOKUP($L720,Vloersoorten[],3,FALSE)*VLOOKUP($Y720,Frequenties[],3,FALSE)*VLOOKUP(#REF!,Locaties[],3,FALSE),0)</f>
        <v>0</v>
      </c>
      <c r="AB720" s="33"/>
      <c r="AC720" s="33"/>
      <c r="AD720" s="33">
        <f>Ruimtestaat[[#This Row],[uren / jaar weekend]]*Tariefsopbouw!$D$40</f>
        <v>0</v>
      </c>
      <c r="AE720" s="86">
        <f>Ruimtestaat[[#This Row],[Prest. (m2 /jaar) weekend]]+Ruimtestaat[[#This Row],[Prest. (m2 /jaar) werkdagen]]</f>
        <v>1587.6</v>
      </c>
      <c r="AF720" s="86">
        <f>Ruimtestaat[[#This Row],[uren / jaar weekend]]+Ruimtestaat[[#This Row],[uren / jaar werkdagen]]</f>
        <v>0</v>
      </c>
      <c r="AG720" s="87">
        <f>Ruimtestaat[[#This Row],[kosten / jaar weekend]]+Ruimtestaat[[#This Row],[kosten / jaar werkdagen]]</f>
        <v>0</v>
      </c>
    </row>
    <row r="721" spans="1:33" ht="15" customHeight="1">
      <c r="A721" s="187">
        <v>6</v>
      </c>
      <c r="B721" s="21" t="str">
        <f>VLOOKUP(Ruimtestaat[[#This Row],[Code]],Locaties[#All],2,FALSE)</f>
        <v>De Thij</v>
      </c>
      <c r="C721" s="231" t="str">
        <f>VLOOKUP(Ruimtestaat[[#This Row],[Code]],Locaties[#All],4,FALSE)</f>
        <v>Thijlaan 30</v>
      </c>
      <c r="D721" s="231" t="str">
        <f>VLOOKUP(Ruimtestaat[[#This Row],[Code]],Locaties[#All],5,FALSE)</f>
        <v>7576 ZB</v>
      </c>
      <c r="E721" s="187" t="str">
        <f>VLOOKUP(Ruimtestaat[[#This Row],[Code]],Locaties[#All],6,FALSE)</f>
        <v>Oldenzaal</v>
      </c>
      <c r="F721" s="232"/>
      <c r="G721" s="187" t="s">
        <v>679</v>
      </c>
      <c r="H721" s="187" t="s">
        <v>425</v>
      </c>
      <c r="I721" s="232" t="s">
        <v>637</v>
      </c>
      <c r="J721" s="187">
        <v>9</v>
      </c>
      <c r="K721" s="187" t="str">
        <f>VLOOKUP(Ruimtestaat[[#This Row],[Ruimte code]],Ruimtegroepen[#All],2,FALSE)</f>
        <v>Bibliotheek / OLC</v>
      </c>
      <c r="L721" s="231" t="s">
        <v>677</v>
      </c>
      <c r="M721" s="187" t="s">
        <v>270</v>
      </c>
      <c r="N721" s="200">
        <v>178.29</v>
      </c>
      <c r="O721" s="200"/>
      <c r="P721" s="231" t="str">
        <f>VLOOKUP(Ruimtestaat[[#This Row],[Ruimte code]],Ruimtegroepen[#All],4,FALSE)</f>
        <v>L  (Lesruimte)</v>
      </c>
      <c r="Q721" s="201"/>
      <c r="R721" s="202">
        <v>42</v>
      </c>
      <c r="S721" s="202" t="s">
        <v>2</v>
      </c>
      <c r="T721" s="202">
        <f>IF(R721&gt;0,IF(RIGHT(Ruimtestaat[[#This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21" s="202">
        <f>IF(T721&gt;0,VLOOKUP($J721,Ruimtegroepen[],3,FALSE)*VLOOKUP($L721,Vloersoorten[],3,FALSE)*VLOOKUP($S721,Frequenties[],3,FALSE)*VLOOKUP($A721,Locaties[],3,FALSE),0)</f>
        <v>0</v>
      </c>
      <c r="V721" s="202">
        <f>Ruimtestaat[[#This Row],[Uitvoeringen werkdagen]]*Ruimtestaat[[#This Row],[Oppervlak (netto)]]</f>
        <v>37440.9</v>
      </c>
      <c r="W721" s="242">
        <f>IF(U721&gt;0,Ruimtestaat[[#This Row],[Prest. (m2 /jaar) werkdagen]]/Ruimtestaat[[#This Row],[Norm (m2/uur) werkdagen]],0)</f>
        <v>0</v>
      </c>
      <c r="X721" s="243">
        <f>Ruimtestaat[[#This Row],[uren / jaar werkdagen]]*Tariefsopbouw!$D$38</f>
        <v>0</v>
      </c>
      <c r="Y721" s="33"/>
      <c r="Z721" s="33">
        <f>IF(Ruimtestaat[[#This Row],[Frequentie weekend]]&gt;0,VALUE(LEFT(Y721,1))*R721,0)</f>
        <v>0</v>
      </c>
      <c r="AA721" s="33">
        <f>IF($Z721&gt;0,VLOOKUP($J721,Ruimtegroepen[],3,FALSE)*VLOOKUP($L721,Vloersoorten[],3,FALSE)*VLOOKUP($Y721,Frequenties[],3,FALSE)*VLOOKUP(#REF!,Locaties[],3,FALSE),0)</f>
        <v>0</v>
      </c>
      <c r="AB721" s="33"/>
      <c r="AC721" s="33"/>
      <c r="AD721" s="33">
        <f>Ruimtestaat[[#This Row],[uren / jaar weekend]]*Tariefsopbouw!$D$40</f>
        <v>0</v>
      </c>
      <c r="AE721" s="86">
        <f>Ruimtestaat[[#This Row],[Prest. (m2 /jaar) weekend]]+Ruimtestaat[[#This Row],[Prest. (m2 /jaar) werkdagen]]</f>
        <v>37440.9</v>
      </c>
      <c r="AF721" s="86">
        <f>Ruimtestaat[[#This Row],[uren / jaar weekend]]+Ruimtestaat[[#This Row],[uren / jaar werkdagen]]</f>
        <v>0</v>
      </c>
      <c r="AG721" s="87">
        <f>Ruimtestaat[[#This Row],[kosten / jaar weekend]]+Ruimtestaat[[#This Row],[kosten / jaar werkdagen]]</f>
        <v>0</v>
      </c>
    </row>
    <row r="722" spans="1:33" ht="15" customHeight="1">
      <c r="A722" s="187">
        <v>6</v>
      </c>
      <c r="B722" s="21" t="str">
        <f>VLOOKUP(Ruimtestaat[[#This Row],[Code]],Locaties[#All],2,FALSE)</f>
        <v>De Thij</v>
      </c>
      <c r="C722" s="231" t="str">
        <f>VLOOKUP(Ruimtestaat[[#This Row],[Code]],Locaties[#All],4,FALSE)</f>
        <v>Thijlaan 30</v>
      </c>
      <c r="D722" s="231" t="str">
        <f>VLOOKUP(Ruimtestaat[[#This Row],[Code]],Locaties[#All],5,FALSE)</f>
        <v>7576 ZB</v>
      </c>
      <c r="E722" s="187" t="str">
        <f>VLOOKUP(Ruimtestaat[[#This Row],[Code]],Locaties[#All],6,FALSE)</f>
        <v>Oldenzaal</v>
      </c>
      <c r="F722" s="232"/>
      <c r="G722" s="187" t="s">
        <v>679</v>
      </c>
      <c r="H722" s="187" t="s">
        <v>426</v>
      </c>
      <c r="I722" s="232" t="s">
        <v>804</v>
      </c>
      <c r="J722" s="187">
        <v>16</v>
      </c>
      <c r="K722" s="187" t="str">
        <f>VLOOKUP(Ruimtestaat[[#This Row],[Ruimte code]],Ruimtegroepen[#All],2,FALSE)</f>
        <v>Leslokalen/computerlokaal</v>
      </c>
      <c r="L722" s="231" t="s">
        <v>1204</v>
      </c>
      <c r="M722" s="187" t="s">
        <v>1205</v>
      </c>
      <c r="N722" s="200">
        <v>54.91</v>
      </c>
      <c r="O722" s="200"/>
      <c r="P722" s="231" t="str">
        <f>VLOOKUP(Ruimtestaat[[#This Row],[Ruimte code]],Ruimtegroepen[#All],4,FALSE)</f>
        <v>L  (Lesruimte)</v>
      </c>
      <c r="Q722" s="201"/>
      <c r="R722" s="202">
        <v>42</v>
      </c>
      <c r="S722" s="202" t="s">
        <v>2</v>
      </c>
      <c r="T722" s="202">
        <f>IF(R722&gt;0,IF(RIGHT(Ruimtestaat[[#This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22" s="202">
        <f>IF(T722&gt;0,VLOOKUP($J722,Ruimtegroepen[],3,FALSE)*VLOOKUP($L722,Vloersoorten[],3,FALSE)*VLOOKUP($S722,Frequenties[],3,FALSE)*VLOOKUP($A722,Locaties[],3,FALSE),0)</f>
        <v>0</v>
      </c>
      <c r="V722" s="202">
        <f>Ruimtestaat[[#This Row],[Uitvoeringen werkdagen]]*Ruimtestaat[[#This Row],[Oppervlak (netto)]]</f>
        <v>11531.099999999999</v>
      </c>
      <c r="W722" s="242">
        <f>IF(U722&gt;0,Ruimtestaat[[#This Row],[Prest. (m2 /jaar) werkdagen]]/Ruimtestaat[[#This Row],[Norm (m2/uur) werkdagen]],0)</f>
        <v>0</v>
      </c>
      <c r="X722" s="243">
        <f>Ruimtestaat[[#This Row],[uren / jaar werkdagen]]*Tariefsopbouw!$D$38</f>
        <v>0</v>
      </c>
      <c r="Y722" s="33"/>
      <c r="Z722" s="33">
        <f>IF(Ruimtestaat[[#This Row],[Frequentie weekend]]&gt;0,VALUE(LEFT(Y722,1))*R722,0)</f>
        <v>0</v>
      </c>
      <c r="AA722" s="33">
        <f>IF($Z722&gt;0,VLOOKUP($J722,Ruimtegroepen[],3,FALSE)*VLOOKUP($L722,Vloersoorten[],3,FALSE)*VLOOKUP($Y722,Frequenties[],3,FALSE)*VLOOKUP(#REF!,Locaties[],3,FALSE),0)</f>
        <v>0</v>
      </c>
      <c r="AB722" s="33"/>
      <c r="AC722" s="33"/>
      <c r="AD722" s="33">
        <f>Ruimtestaat[[#This Row],[uren / jaar weekend]]*Tariefsopbouw!$D$40</f>
        <v>0</v>
      </c>
      <c r="AE722" s="86">
        <f>Ruimtestaat[[#This Row],[Prest. (m2 /jaar) weekend]]+Ruimtestaat[[#This Row],[Prest. (m2 /jaar) werkdagen]]</f>
        <v>11531.099999999999</v>
      </c>
      <c r="AF722" s="86">
        <f>Ruimtestaat[[#This Row],[uren / jaar weekend]]+Ruimtestaat[[#This Row],[uren / jaar werkdagen]]</f>
        <v>0</v>
      </c>
      <c r="AG722" s="87">
        <f>Ruimtestaat[[#This Row],[kosten / jaar weekend]]+Ruimtestaat[[#This Row],[kosten / jaar werkdagen]]</f>
        <v>0</v>
      </c>
    </row>
    <row r="723" spans="1:33" ht="15" customHeight="1">
      <c r="A723" s="187">
        <v>6</v>
      </c>
      <c r="B723" s="21" t="str">
        <f>VLOOKUP(Ruimtestaat[[#This Row],[Code]],Locaties[#All],2,FALSE)</f>
        <v>De Thij</v>
      </c>
      <c r="C723" s="231" t="str">
        <f>VLOOKUP(Ruimtestaat[[#This Row],[Code]],Locaties[#All],4,FALSE)</f>
        <v>Thijlaan 30</v>
      </c>
      <c r="D723" s="231" t="str">
        <f>VLOOKUP(Ruimtestaat[[#This Row],[Code]],Locaties[#All],5,FALSE)</f>
        <v>7576 ZB</v>
      </c>
      <c r="E723" s="187" t="str">
        <f>VLOOKUP(Ruimtestaat[[#This Row],[Code]],Locaties[#All],6,FALSE)</f>
        <v>Oldenzaal</v>
      </c>
      <c r="F723" s="232"/>
      <c r="G723" s="187" t="s">
        <v>679</v>
      </c>
      <c r="H723" s="187" t="s">
        <v>427</v>
      </c>
      <c r="I723" s="232" t="s">
        <v>804</v>
      </c>
      <c r="J723" s="187">
        <v>16</v>
      </c>
      <c r="K723" s="187" t="str">
        <f>VLOOKUP(Ruimtestaat[[#This Row],[Ruimte code]],Ruimtegroepen[#All],2,FALSE)</f>
        <v>Leslokalen/computerlokaal</v>
      </c>
      <c r="L723" s="231" t="s">
        <v>1204</v>
      </c>
      <c r="M723" s="187" t="s">
        <v>1205</v>
      </c>
      <c r="N723" s="200">
        <v>55.28</v>
      </c>
      <c r="O723" s="200"/>
      <c r="P723" s="231" t="str">
        <f>VLOOKUP(Ruimtestaat[[#This Row],[Ruimte code]],Ruimtegroepen[#All],4,FALSE)</f>
        <v>L  (Lesruimte)</v>
      </c>
      <c r="Q723" s="201"/>
      <c r="R723" s="202">
        <v>42</v>
      </c>
      <c r="S723" s="202" t="s">
        <v>2</v>
      </c>
      <c r="T723" s="202">
        <f>IF(R723&gt;0,IF(RIGHT(Ruimtestaat[[#This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23" s="202">
        <f>IF(T723&gt;0,VLOOKUP($J723,Ruimtegroepen[],3,FALSE)*VLOOKUP($L723,Vloersoorten[],3,FALSE)*VLOOKUP($S723,Frequenties[],3,FALSE)*VLOOKUP($A723,Locaties[],3,FALSE),0)</f>
        <v>0</v>
      </c>
      <c r="V723" s="202">
        <f>Ruimtestaat[[#This Row],[Uitvoeringen werkdagen]]*Ruimtestaat[[#This Row],[Oppervlak (netto)]]</f>
        <v>11608.800000000001</v>
      </c>
      <c r="W723" s="242">
        <f>IF(U723&gt;0,Ruimtestaat[[#This Row],[Prest. (m2 /jaar) werkdagen]]/Ruimtestaat[[#This Row],[Norm (m2/uur) werkdagen]],0)</f>
        <v>0</v>
      </c>
      <c r="X723" s="243">
        <f>Ruimtestaat[[#This Row],[uren / jaar werkdagen]]*Tariefsopbouw!$D$38</f>
        <v>0</v>
      </c>
      <c r="Y723" s="33"/>
      <c r="Z723" s="33">
        <f>IF(Ruimtestaat[[#This Row],[Frequentie weekend]]&gt;0,VALUE(LEFT(Y723,1))*R723,0)</f>
        <v>0</v>
      </c>
      <c r="AA723" s="33">
        <f>IF($Z723&gt;0,VLOOKUP($J723,Ruimtegroepen[],3,FALSE)*VLOOKUP($L723,Vloersoorten[],3,FALSE)*VLOOKUP($Y723,Frequenties[],3,FALSE)*VLOOKUP(#REF!,Locaties[],3,FALSE),0)</f>
        <v>0</v>
      </c>
      <c r="AB723" s="33"/>
      <c r="AC723" s="33"/>
      <c r="AD723" s="33">
        <f>Ruimtestaat[[#This Row],[uren / jaar weekend]]*Tariefsopbouw!$D$40</f>
        <v>0</v>
      </c>
      <c r="AE723" s="86">
        <f>Ruimtestaat[[#This Row],[Prest. (m2 /jaar) weekend]]+Ruimtestaat[[#This Row],[Prest. (m2 /jaar) werkdagen]]</f>
        <v>11608.800000000001</v>
      </c>
      <c r="AF723" s="86">
        <f>Ruimtestaat[[#This Row],[uren / jaar weekend]]+Ruimtestaat[[#This Row],[uren / jaar werkdagen]]</f>
        <v>0</v>
      </c>
      <c r="AG723" s="87">
        <f>Ruimtestaat[[#This Row],[kosten / jaar weekend]]+Ruimtestaat[[#This Row],[kosten / jaar werkdagen]]</f>
        <v>0</v>
      </c>
    </row>
    <row r="724" spans="1:33" ht="15" customHeight="1">
      <c r="A724" s="187">
        <v>6</v>
      </c>
      <c r="B724" s="21" t="str">
        <f>VLOOKUP(Ruimtestaat[[#This Row],[Code]],Locaties[#All],2,FALSE)</f>
        <v>De Thij</v>
      </c>
      <c r="C724" s="231" t="str">
        <f>VLOOKUP(Ruimtestaat[[#This Row],[Code]],Locaties[#All],4,FALSE)</f>
        <v>Thijlaan 30</v>
      </c>
      <c r="D724" s="231" t="str">
        <f>VLOOKUP(Ruimtestaat[[#This Row],[Code]],Locaties[#All],5,FALSE)</f>
        <v>7576 ZB</v>
      </c>
      <c r="E724" s="187" t="str">
        <f>VLOOKUP(Ruimtestaat[[#This Row],[Code]],Locaties[#All],6,FALSE)</f>
        <v>Oldenzaal</v>
      </c>
      <c r="F724" s="232"/>
      <c r="G724" s="187" t="s">
        <v>679</v>
      </c>
      <c r="H724" s="187" t="s">
        <v>429</v>
      </c>
      <c r="I724" s="232" t="s">
        <v>372</v>
      </c>
      <c r="J724" s="187">
        <v>6</v>
      </c>
      <c r="K724" s="187" t="str">
        <f>VLOOKUP(Ruimtestaat[[#This Row],[Ruimte code]],Ruimtegroepen[#All],2,FALSE)</f>
        <v>Gangen/hallen</v>
      </c>
      <c r="L724" s="231" t="s">
        <v>677</v>
      </c>
      <c r="M724" s="187" t="s">
        <v>270</v>
      </c>
      <c r="N724" s="200">
        <v>68</v>
      </c>
      <c r="O724" s="200"/>
      <c r="P724" s="231" t="str">
        <f>VLOOKUP(Ruimtestaat[[#This Row],[Ruimte code]],Ruimtegroepen[#All],4,FALSE)</f>
        <v>V  (Verkeersruimte)</v>
      </c>
      <c r="Q724" s="201"/>
      <c r="R724" s="202">
        <v>42</v>
      </c>
      <c r="S724" s="202" t="s">
        <v>2</v>
      </c>
      <c r="T724" s="202">
        <f>IF(R724&gt;0,IF(RIGHT(Ruimtestaat[[#This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24" s="202">
        <f>IF(T724&gt;0,VLOOKUP($J724,Ruimtegroepen[],3,FALSE)*VLOOKUP($L724,Vloersoorten[],3,FALSE)*VLOOKUP($S724,Frequenties[],3,FALSE)*VLOOKUP($A724,Locaties[],3,FALSE),0)</f>
        <v>0</v>
      </c>
      <c r="V724" s="202">
        <f>Ruimtestaat[[#This Row],[Uitvoeringen werkdagen]]*Ruimtestaat[[#This Row],[Oppervlak (netto)]]</f>
        <v>14280</v>
      </c>
      <c r="W724" s="242">
        <f>IF(U724&gt;0,Ruimtestaat[[#This Row],[Prest. (m2 /jaar) werkdagen]]/Ruimtestaat[[#This Row],[Norm (m2/uur) werkdagen]],0)</f>
        <v>0</v>
      </c>
      <c r="X724" s="243">
        <f>Ruimtestaat[[#This Row],[uren / jaar werkdagen]]*Tariefsopbouw!$D$38</f>
        <v>0</v>
      </c>
      <c r="Y724" s="33"/>
      <c r="Z724" s="33">
        <f>IF(Ruimtestaat[[#This Row],[Frequentie weekend]]&gt;0,VALUE(LEFT(Y724,1))*R724,0)</f>
        <v>0</v>
      </c>
      <c r="AA724" s="33">
        <f>IF($Z724&gt;0,VLOOKUP($J724,Ruimtegroepen[],3,FALSE)*VLOOKUP($L724,Vloersoorten[],3,FALSE)*VLOOKUP($Y724,Frequenties[],3,FALSE)*VLOOKUP(#REF!,Locaties[],3,FALSE),0)</f>
        <v>0</v>
      </c>
      <c r="AB724" s="33"/>
      <c r="AC724" s="33"/>
      <c r="AD724" s="33">
        <f>Ruimtestaat[[#This Row],[uren / jaar weekend]]*Tariefsopbouw!$D$40</f>
        <v>0</v>
      </c>
      <c r="AE724" s="86">
        <f>Ruimtestaat[[#This Row],[Prest. (m2 /jaar) weekend]]+Ruimtestaat[[#This Row],[Prest. (m2 /jaar) werkdagen]]</f>
        <v>14280</v>
      </c>
      <c r="AF724" s="86">
        <f>Ruimtestaat[[#This Row],[uren / jaar weekend]]+Ruimtestaat[[#This Row],[uren / jaar werkdagen]]</f>
        <v>0</v>
      </c>
      <c r="AG724" s="87">
        <f>Ruimtestaat[[#This Row],[kosten / jaar weekend]]+Ruimtestaat[[#This Row],[kosten / jaar werkdagen]]</f>
        <v>0</v>
      </c>
    </row>
    <row r="725" spans="1:33" ht="15" customHeight="1">
      <c r="A725" s="187">
        <v>6</v>
      </c>
      <c r="B725" s="21" t="str">
        <f>VLOOKUP(Ruimtestaat[[#This Row],[Code]],Locaties[#All],2,FALSE)</f>
        <v>De Thij</v>
      </c>
      <c r="C725" s="231" t="str">
        <f>VLOOKUP(Ruimtestaat[[#This Row],[Code]],Locaties[#All],4,FALSE)</f>
        <v>Thijlaan 30</v>
      </c>
      <c r="D725" s="231" t="str">
        <f>VLOOKUP(Ruimtestaat[[#This Row],[Code]],Locaties[#All],5,FALSE)</f>
        <v>7576 ZB</v>
      </c>
      <c r="E725" s="187" t="str">
        <f>VLOOKUP(Ruimtestaat[[#This Row],[Code]],Locaties[#All],6,FALSE)</f>
        <v>Oldenzaal</v>
      </c>
      <c r="F725" s="232"/>
      <c r="G725" s="187" t="s">
        <v>679</v>
      </c>
      <c r="H725" s="187" t="s">
        <v>431</v>
      </c>
      <c r="I725" s="232" t="s">
        <v>804</v>
      </c>
      <c r="J725" s="187">
        <v>16</v>
      </c>
      <c r="K725" s="187" t="str">
        <f>VLOOKUP(Ruimtestaat[[#This Row],[Ruimte code]],Ruimtegroepen[#All],2,FALSE)</f>
        <v>Leslokalen/computerlokaal</v>
      </c>
      <c r="L725" s="231" t="s">
        <v>1204</v>
      </c>
      <c r="M725" s="187" t="s">
        <v>1205</v>
      </c>
      <c r="N725" s="200">
        <v>55.13</v>
      </c>
      <c r="O725" s="200"/>
      <c r="P725" s="231" t="str">
        <f>VLOOKUP(Ruimtestaat[[#This Row],[Ruimte code]],Ruimtegroepen[#All],4,FALSE)</f>
        <v>L  (Lesruimte)</v>
      </c>
      <c r="Q725" s="201"/>
      <c r="R725" s="202">
        <v>42</v>
      </c>
      <c r="S725" s="202" t="s">
        <v>2</v>
      </c>
      <c r="T725" s="202">
        <f>IF(R725&gt;0,IF(RIGHT(Ruimtestaat[[#This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25" s="202">
        <f>IF(T725&gt;0,VLOOKUP($J725,Ruimtegroepen[],3,FALSE)*VLOOKUP($L725,Vloersoorten[],3,FALSE)*VLOOKUP($S725,Frequenties[],3,FALSE)*VLOOKUP($A725,Locaties[],3,FALSE),0)</f>
        <v>0</v>
      </c>
      <c r="V725" s="202">
        <f>Ruimtestaat[[#This Row],[Uitvoeringen werkdagen]]*Ruimtestaat[[#This Row],[Oppervlak (netto)]]</f>
        <v>11577.300000000001</v>
      </c>
      <c r="W725" s="242">
        <f>IF(U725&gt;0,Ruimtestaat[[#This Row],[Prest. (m2 /jaar) werkdagen]]/Ruimtestaat[[#This Row],[Norm (m2/uur) werkdagen]],0)</f>
        <v>0</v>
      </c>
      <c r="X725" s="243">
        <f>Ruimtestaat[[#This Row],[uren / jaar werkdagen]]*Tariefsopbouw!$D$38</f>
        <v>0</v>
      </c>
      <c r="Y725" s="33"/>
      <c r="Z725" s="33">
        <f>IF(Ruimtestaat[[#This Row],[Frequentie weekend]]&gt;0,VALUE(LEFT(Y725,1))*R725,0)</f>
        <v>0</v>
      </c>
      <c r="AA725" s="33">
        <f>IF($Z725&gt;0,VLOOKUP($J725,Ruimtegroepen[],3,FALSE)*VLOOKUP($L725,Vloersoorten[],3,FALSE)*VLOOKUP($Y725,Frequenties[],3,FALSE)*VLOOKUP(#REF!,Locaties[],3,FALSE),0)</f>
        <v>0</v>
      </c>
      <c r="AB725" s="33"/>
      <c r="AC725" s="33"/>
      <c r="AD725" s="33">
        <f>Ruimtestaat[[#This Row],[uren / jaar weekend]]*Tariefsopbouw!$D$40</f>
        <v>0</v>
      </c>
      <c r="AE725" s="86">
        <f>Ruimtestaat[[#This Row],[Prest. (m2 /jaar) weekend]]+Ruimtestaat[[#This Row],[Prest. (m2 /jaar) werkdagen]]</f>
        <v>11577.300000000001</v>
      </c>
      <c r="AF725" s="86">
        <f>Ruimtestaat[[#This Row],[uren / jaar weekend]]+Ruimtestaat[[#This Row],[uren / jaar werkdagen]]</f>
        <v>0</v>
      </c>
      <c r="AG725" s="87">
        <f>Ruimtestaat[[#This Row],[kosten / jaar weekend]]+Ruimtestaat[[#This Row],[kosten / jaar werkdagen]]</f>
        <v>0</v>
      </c>
    </row>
    <row r="726" spans="1:33" ht="15" customHeight="1">
      <c r="A726" s="187">
        <v>6</v>
      </c>
      <c r="B726" s="21" t="str">
        <f>VLOOKUP(Ruimtestaat[[#This Row],[Code]],Locaties[#All],2,FALSE)</f>
        <v>De Thij</v>
      </c>
      <c r="C726" s="231" t="str">
        <f>VLOOKUP(Ruimtestaat[[#This Row],[Code]],Locaties[#All],4,FALSE)</f>
        <v>Thijlaan 30</v>
      </c>
      <c r="D726" s="231" t="str">
        <f>VLOOKUP(Ruimtestaat[[#This Row],[Code]],Locaties[#All],5,FALSE)</f>
        <v>7576 ZB</v>
      </c>
      <c r="E726" s="187" t="str">
        <f>VLOOKUP(Ruimtestaat[[#This Row],[Code]],Locaties[#All],6,FALSE)</f>
        <v>Oldenzaal</v>
      </c>
      <c r="F726" s="232"/>
      <c r="G726" s="187" t="s">
        <v>679</v>
      </c>
      <c r="H726" s="187" t="s">
        <v>805</v>
      </c>
      <c r="I726" s="232" t="s">
        <v>637</v>
      </c>
      <c r="J726" s="187">
        <v>9</v>
      </c>
      <c r="K726" s="187" t="str">
        <f>VLOOKUP(Ruimtestaat[[#This Row],[Ruimte code]],Ruimtegroepen[#All],2,FALSE)</f>
        <v>Bibliotheek / OLC</v>
      </c>
      <c r="L726" s="231" t="s">
        <v>677</v>
      </c>
      <c r="M726" s="187" t="s">
        <v>270</v>
      </c>
      <c r="N726" s="200">
        <v>256.44</v>
      </c>
      <c r="O726" s="200"/>
      <c r="P726" s="231" t="str">
        <f>VLOOKUP(Ruimtestaat[[#This Row],[Ruimte code]],Ruimtegroepen[#All],4,FALSE)</f>
        <v>L  (Lesruimte)</v>
      </c>
      <c r="Q726" s="201"/>
      <c r="R726" s="202">
        <v>42</v>
      </c>
      <c r="S726" s="202" t="s">
        <v>2</v>
      </c>
      <c r="T726" s="202">
        <f>IF(R726&gt;0,IF(RIGHT(Ruimtestaat[[#This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26" s="202">
        <f>IF(T726&gt;0,VLOOKUP($J726,Ruimtegroepen[],3,FALSE)*VLOOKUP($L726,Vloersoorten[],3,FALSE)*VLOOKUP($S726,Frequenties[],3,FALSE)*VLOOKUP($A726,Locaties[],3,FALSE),0)</f>
        <v>0</v>
      </c>
      <c r="V726" s="202">
        <f>Ruimtestaat[[#This Row],[Uitvoeringen werkdagen]]*Ruimtestaat[[#This Row],[Oppervlak (netto)]]</f>
        <v>53852.4</v>
      </c>
      <c r="W726" s="242">
        <f>IF(U726&gt;0,Ruimtestaat[[#This Row],[Prest. (m2 /jaar) werkdagen]]/Ruimtestaat[[#This Row],[Norm (m2/uur) werkdagen]],0)</f>
        <v>0</v>
      </c>
      <c r="X726" s="243">
        <f>Ruimtestaat[[#This Row],[uren / jaar werkdagen]]*Tariefsopbouw!$D$38</f>
        <v>0</v>
      </c>
      <c r="Y726" s="33"/>
      <c r="Z726" s="33">
        <f>IF(Ruimtestaat[[#This Row],[Frequentie weekend]]&gt;0,VALUE(LEFT(Y726,1))*R726,0)</f>
        <v>0</v>
      </c>
      <c r="AA726" s="33">
        <f>IF($Z726&gt;0,VLOOKUP($J726,Ruimtegroepen[],3,FALSE)*VLOOKUP($L726,Vloersoorten[],3,FALSE)*VLOOKUP($Y726,Frequenties[],3,FALSE)*VLOOKUP(#REF!,Locaties[],3,FALSE),0)</f>
        <v>0</v>
      </c>
      <c r="AB726" s="33"/>
      <c r="AC726" s="33"/>
      <c r="AD726" s="33">
        <f>Ruimtestaat[[#This Row],[uren / jaar weekend]]*Tariefsopbouw!$D$40</f>
        <v>0</v>
      </c>
      <c r="AE726" s="86">
        <f>Ruimtestaat[[#This Row],[Prest. (m2 /jaar) weekend]]+Ruimtestaat[[#This Row],[Prest. (m2 /jaar) werkdagen]]</f>
        <v>53852.4</v>
      </c>
      <c r="AF726" s="86">
        <f>Ruimtestaat[[#This Row],[uren / jaar weekend]]+Ruimtestaat[[#This Row],[uren / jaar werkdagen]]</f>
        <v>0</v>
      </c>
      <c r="AG726" s="87">
        <f>Ruimtestaat[[#This Row],[kosten / jaar weekend]]+Ruimtestaat[[#This Row],[kosten / jaar werkdagen]]</f>
        <v>0</v>
      </c>
    </row>
    <row r="727" spans="1:33" ht="15" customHeight="1">
      <c r="A727" s="187">
        <v>6</v>
      </c>
      <c r="B727" s="21" t="str">
        <f>VLOOKUP(Ruimtestaat[[#This Row],[Code]],Locaties[#All],2,FALSE)</f>
        <v>De Thij</v>
      </c>
      <c r="C727" s="231" t="str">
        <f>VLOOKUP(Ruimtestaat[[#This Row],[Code]],Locaties[#All],4,FALSE)</f>
        <v>Thijlaan 30</v>
      </c>
      <c r="D727" s="231" t="str">
        <f>VLOOKUP(Ruimtestaat[[#This Row],[Code]],Locaties[#All],5,FALSE)</f>
        <v>7576 ZB</v>
      </c>
      <c r="E727" s="187" t="str">
        <f>VLOOKUP(Ruimtestaat[[#This Row],[Code]],Locaties[#All],6,FALSE)</f>
        <v>Oldenzaal</v>
      </c>
      <c r="F727" s="232"/>
      <c r="G727" s="187" t="s">
        <v>679</v>
      </c>
      <c r="H727" s="187" t="s">
        <v>432</v>
      </c>
      <c r="I727" s="232" t="s">
        <v>804</v>
      </c>
      <c r="J727" s="231">
        <v>16</v>
      </c>
      <c r="K727" s="231" t="str">
        <f>VLOOKUP(Ruimtestaat[[#This Row],[Ruimte code]],Ruimtegroepen[#All],2,FALSE)</f>
        <v>Leslokalen/computerlokaal</v>
      </c>
      <c r="L727" s="231" t="s">
        <v>1204</v>
      </c>
      <c r="M727" s="187" t="s">
        <v>1205</v>
      </c>
      <c r="N727" s="200">
        <v>42.82</v>
      </c>
      <c r="O727" s="200"/>
      <c r="P727" s="231" t="str">
        <f>VLOOKUP(Ruimtestaat[[#This Row],[Ruimte code]],Ruimtegroepen[#All],4,FALSE)</f>
        <v>L  (Lesruimte)</v>
      </c>
      <c r="Q727" s="201"/>
      <c r="R727" s="202">
        <v>42</v>
      </c>
      <c r="S727" s="202" t="s">
        <v>2</v>
      </c>
      <c r="T727" s="202">
        <f>IF(R727&gt;0,IF(RIGHT(Ruimtestaat[[#This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27" s="202">
        <f>IF(T727&gt;0,VLOOKUP($J727,Ruimtegroepen[],3,FALSE)*VLOOKUP($L727,Vloersoorten[],3,FALSE)*VLOOKUP($S727,Frequenties[],3,FALSE)*VLOOKUP($A727,Locaties[],3,FALSE),0)</f>
        <v>0</v>
      </c>
      <c r="V727" s="202">
        <f>Ruimtestaat[[#This Row],[Uitvoeringen werkdagen]]*Ruimtestaat[[#This Row],[Oppervlak (netto)]]</f>
        <v>8992.2000000000007</v>
      </c>
      <c r="W727" s="242">
        <f>IF(U727&gt;0,Ruimtestaat[[#This Row],[Prest. (m2 /jaar) werkdagen]]/Ruimtestaat[[#This Row],[Norm (m2/uur) werkdagen]],0)</f>
        <v>0</v>
      </c>
      <c r="X727" s="243">
        <f>Ruimtestaat[[#This Row],[uren / jaar werkdagen]]*Tariefsopbouw!$D$38</f>
        <v>0</v>
      </c>
      <c r="Y727" s="33"/>
      <c r="Z727" s="33">
        <f>IF(Ruimtestaat[[#This Row],[Frequentie weekend]]&gt;0,VALUE(LEFT(Y727,1))*R727,0)</f>
        <v>0</v>
      </c>
      <c r="AA727" s="33">
        <f>IF($Z727&gt;0,VLOOKUP($J727,Ruimtegroepen[],3,FALSE)*VLOOKUP($L727,Vloersoorten[],3,FALSE)*VLOOKUP($Y727,Frequenties[],3,FALSE)*VLOOKUP(#REF!,Locaties[],3,FALSE),0)</f>
        <v>0</v>
      </c>
      <c r="AB727" s="33"/>
      <c r="AC727" s="33"/>
      <c r="AD727" s="33">
        <f>Ruimtestaat[[#This Row],[uren / jaar weekend]]*Tariefsopbouw!$D$40</f>
        <v>0</v>
      </c>
      <c r="AE727" s="86">
        <f>Ruimtestaat[[#This Row],[Prest. (m2 /jaar) weekend]]+Ruimtestaat[[#This Row],[Prest. (m2 /jaar) werkdagen]]</f>
        <v>8992.2000000000007</v>
      </c>
      <c r="AF727" s="86">
        <f>Ruimtestaat[[#This Row],[uren / jaar weekend]]+Ruimtestaat[[#This Row],[uren / jaar werkdagen]]</f>
        <v>0</v>
      </c>
      <c r="AG727" s="87">
        <f>Ruimtestaat[[#This Row],[kosten / jaar weekend]]+Ruimtestaat[[#This Row],[kosten / jaar werkdagen]]</f>
        <v>0</v>
      </c>
    </row>
    <row r="728" spans="1:33" ht="15" customHeight="1">
      <c r="A728" s="187">
        <v>6</v>
      </c>
      <c r="B728" s="21" t="str">
        <f>VLOOKUP(Ruimtestaat[[#This Row],[Code]],Locaties[#All],2,FALSE)</f>
        <v>De Thij</v>
      </c>
      <c r="C728" s="231" t="str">
        <f>VLOOKUP(Ruimtestaat[[#This Row],[Code]],Locaties[#All],4,FALSE)</f>
        <v>Thijlaan 30</v>
      </c>
      <c r="D728" s="231" t="str">
        <f>VLOOKUP(Ruimtestaat[[#This Row],[Code]],Locaties[#All],5,FALSE)</f>
        <v>7576 ZB</v>
      </c>
      <c r="E728" s="187" t="str">
        <f>VLOOKUP(Ruimtestaat[[#This Row],[Code]],Locaties[#All],6,FALSE)</f>
        <v>Oldenzaal</v>
      </c>
      <c r="F728" s="232"/>
      <c r="G728" s="187" t="s">
        <v>679</v>
      </c>
      <c r="H728" s="187" t="s">
        <v>434</v>
      </c>
      <c r="I728" s="232" t="s">
        <v>804</v>
      </c>
      <c r="J728" s="187">
        <v>16</v>
      </c>
      <c r="K728" s="187" t="str">
        <f>VLOOKUP(Ruimtestaat[[#This Row],[Ruimte code]],Ruimtegroepen[#All],2,FALSE)</f>
        <v>Leslokalen/computerlokaal</v>
      </c>
      <c r="L728" s="231" t="s">
        <v>1204</v>
      </c>
      <c r="M728" s="187" t="s">
        <v>1205</v>
      </c>
      <c r="N728" s="200">
        <v>51.31</v>
      </c>
      <c r="O728" s="200"/>
      <c r="P728" s="231" t="str">
        <f>VLOOKUP(Ruimtestaat[[#This Row],[Ruimte code]],Ruimtegroepen[#All],4,FALSE)</f>
        <v>L  (Lesruimte)</v>
      </c>
      <c r="Q728" s="201"/>
      <c r="R728" s="202">
        <v>42</v>
      </c>
      <c r="S728" s="202" t="s">
        <v>2</v>
      </c>
      <c r="T728" s="202">
        <f>IF(R728&gt;0,IF(RIGHT(Ruimtestaat[[#This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28" s="202">
        <f>IF(T728&gt;0,VLOOKUP($J728,Ruimtegroepen[],3,FALSE)*VLOOKUP($L728,Vloersoorten[],3,FALSE)*VLOOKUP($S728,Frequenties[],3,FALSE)*VLOOKUP($A728,Locaties[],3,FALSE),0)</f>
        <v>0</v>
      </c>
      <c r="V728" s="202">
        <f>Ruimtestaat[[#This Row],[Uitvoeringen werkdagen]]*Ruimtestaat[[#This Row],[Oppervlak (netto)]]</f>
        <v>10775.1</v>
      </c>
      <c r="W728" s="242">
        <f>IF(U728&gt;0,Ruimtestaat[[#This Row],[Prest. (m2 /jaar) werkdagen]]/Ruimtestaat[[#This Row],[Norm (m2/uur) werkdagen]],0)</f>
        <v>0</v>
      </c>
      <c r="X728" s="243">
        <f>Ruimtestaat[[#This Row],[uren / jaar werkdagen]]*Tariefsopbouw!$D$38</f>
        <v>0</v>
      </c>
      <c r="Y728" s="33"/>
      <c r="Z728" s="33">
        <f>IF(Ruimtestaat[[#This Row],[Frequentie weekend]]&gt;0,VALUE(LEFT(Y728,1))*R728,0)</f>
        <v>0</v>
      </c>
      <c r="AA728" s="33">
        <f>IF($Z728&gt;0,VLOOKUP($J728,Ruimtegroepen[],3,FALSE)*VLOOKUP($L728,Vloersoorten[],3,FALSE)*VLOOKUP($Y728,Frequenties[],3,FALSE)*VLOOKUP(#REF!,Locaties[],3,FALSE),0)</f>
        <v>0</v>
      </c>
      <c r="AB728" s="33"/>
      <c r="AC728" s="33"/>
      <c r="AD728" s="33">
        <f>Ruimtestaat[[#This Row],[uren / jaar weekend]]*Tariefsopbouw!$D$40</f>
        <v>0</v>
      </c>
      <c r="AE728" s="86">
        <f>Ruimtestaat[[#This Row],[Prest. (m2 /jaar) weekend]]+Ruimtestaat[[#This Row],[Prest. (m2 /jaar) werkdagen]]</f>
        <v>10775.1</v>
      </c>
      <c r="AF728" s="86">
        <f>Ruimtestaat[[#This Row],[uren / jaar weekend]]+Ruimtestaat[[#This Row],[uren / jaar werkdagen]]</f>
        <v>0</v>
      </c>
      <c r="AG728" s="87">
        <f>Ruimtestaat[[#This Row],[kosten / jaar weekend]]+Ruimtestaat[[#This Row],[kosten / jaar werkdagen]]</f>
        <v>0</v>
      </c>
    </row>
    <row r="729" spans="1:33" ht="15" customHeight="1">
      <c r="A729" s="187">
        <v>6</v>
      </c>
      <c r="B729" s="21" t="str">
        <f>VLOOKUP(Ruimtestaat[[#This Row],[Code]],Locaties[#All],2,FALSE)</f>
        <v>De Thij</v>
      </c>
      <c r="C729" s="231" t="str">
        <f>VLOOKUP(Ruimtestaat[[#This Row],[Code]],Locaties[#All],4,FALSE)</f>
        <v>Thijlaan 30</v>
      </c>
      <c r="D729" s="231" t="str">
        <f>VLOOKUP(Ruimtestaat[[#This Row],[Code]],Locaties[#All],5,FALSE)</f>
        <v>7576 ZB</v>
      </c>
      <c r="E729" s="187" t="str">
        <f>VLOOKUP(Ruimtestaat[[#This Row],[Code]],Locaties[#All],6,FALSE)</f>
        <v>Oldenzaal</v>
      </c>
      <c r="F729" s="232"/>
      <c r="G729" s="187" t="s">
        <v>679</v>
      </c>
      <c r="H729" s="187" t="s">
        <v>435</v>
      </c>
      <c r="I729" s="232" t="s">
        <v>480</v>
      </c>
      <c r="J729" s="187">
        <v>5</v>
      </c>
      <c r="K729" s="187" t="str">
        <f>VLOOKUP(Ruimtestaat[[#This Row],[Ruimte code]],Ruimtegroepen[#All],2,FALSE)</f>
        <v>Sanitair</v>
      </c>
      <c r="L729" s="202" t="s">
        <v>108</v>
      </c>
      <c r="M729" s="187" t="s">
        <v>1206</v>
      </c>
      <c r="N729" s="200">
        <v>62.41</v>
      </c>
      <c r="O729" s="200"/>
      <c r="P729" s="231" t="str">
        <f>VLOOKUP(Ruimtestaat[[#This Row],[Ruimte code]],Ruimtegroepen[#All],4,FALSE)</f>
        <v>S  (Sanitair)</v>
      </c>
      <c r="Q729" s="201"/>
      <c r="R729" s="202">
        <v>42</v>
      </c>
      <c r="S729" s="202" t="s">
        <v>19</v>
      </c>
      <c r="T729" s="202">
        <f>IF(R729&gt;0,IF(RIGHT(Ruimtestaat[[#This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729" s="202">
        <f>IF(T729&gt;0,VLOOKUP($J729,Ruimtegroepen[],3,FALSE)*VLOOKUP($L729,Vloersoorten[],3,FALSE)*VLOOKUP($S729,Frequenties[],3,FALSE)*VLOOKUP($A729,Locaties[],3,FALSE),0)</f>
        <v>0</v>
      </c>
      <c r="V729" s="202">
        <f>Ruimtestaat[[#This Row],[Uitvoeringen werkdagen]]*Ruimtestaat[[#This Row],[Oppervlak (netto)]]</f>
        <v>26212.199999999997</v>
      </c>
      <c r="W729" s="242">
        <f>IF(U729&gt;0,Ruimtestaat[[#This Row],[Prest. (m2 /jaar) werkdagen]]/Ruimtestaat[[#This Row],[Norm (m2/uur) werkdagen]],0)</f>
        <v>0</v>
      </c>
      <c r="X729" s="243">
        <f>Ruimtestaat[[#This Row],[uren / jaar werkdagen]]*Tariefsopbouw!$D$38</f>
        <v>0</v>
      </c>
      <c r="Y729" s="33"/>
      <c r="Z729" s="33">
        <f>IF(Ruimtestaat[[#This Row],[Frequentie weekend]]&gt;0,VALUE(LEFT(Y729,1))*R729,0)</f>
        <v>0</v>
      </c>
      <c r="AA729" s="33">
        <f>IF($Z729&gt;0,VLOOKUP($J729,Ruimtegroepen[],3,FALSE)*VLOOKUP($L729,Vloersoorten[],3,FALSE)*VLOOKUP($Y729,Frequenties[],3,FALSE)*VLOOKUP(#REF!,Locaties[],3,FALSE),0)</f>
        <v>0</v>
      </c>
      <c r="AB729" s="33"/>
      <c r="AC729" s="33"/>
      <c r="AD729" s="33">
        <f>Ruimtestaat[[#This Row],[uren / jaar weekend]]*Tariefsopbouw!$D$40</f>
        <v>0</v>
      </c>
      <c r="AE729" s="86">
        <f>Ruimtestaat[[#This Row],[Prest. (m2 /jaar) weekend]]+Ruimtestaat[[#This Row],[Prest. (m2 /jaar) werkdagen]]</f>
        <v>26212.199999999997</v>
      </c>
      <c r="AF729" s="86">
        <f>Ruimtestaat[[#This Row],[uren / jaar weekend]]+Ruimtestaat[[#This Row],[uren / jaar werkdagen]]</f>
        <v>0</v>
      </c>
      <c r="AG729" s="87">
        <f>Ruimtestaat[[#This Row],[kosten / jaar weekend]]+Ruimtestaat[[#This Row],[kosten / jaar werkdagen]]</f>
        <v>0</v>
      </c>
    </row>
    <row r="730" spans="1:33" ht="15" customHeight="1">
      <c r="A730" s="187">
        <v>6</v>
      </c>
      <c r="B730" s="21" t="str">
        <f>VLOOKUP(Ruimtestaat[[#This Row],[Code]],Locaties[#All],2,FALSE)</f>
        <v>De Thij</v>
      </c>
      <c r="C730" s="231" t="str">
        <f>VLOOKUP(Ruimtestaat[[#This Row],[Code]],Locaties[#All],4,FALSE)</f>
        <v>Thijlaan 30</v>
      </c>
      <c r="D730" s="231" t="str">
        <f>VLOOKUP(Ruimtestaat[[#This Row],[Code]],Locaties[#All],5,FALSE)</f>
        <v>7576 ZB</v>
      </c>
      <c r="E730" s="187" t="str">
        <f>VLOOKUP(Ruimtestaat[[#This Row],[Code]],Locaties[#All],6,FALSE)</f>
        <v>Oldenzaal</v>
      </c>
      <c r="F730" s="232"/>
      <c r="G730" s="187" t="s">
        <v>679</v>
      </c>
      <c r="H730" s="187" t="s">
        <v>435</v>
      </c>
      <c r="I730" s="232" t="s">
        <v>480</v>
      </c>
      <c r="J730" s="187">
        <v>5</v>
      </c>
      <c r="K730" s="187" t="str">
        <f>VLOOKUP(Ruimtestaat[[#This Row],[Ruimte code]],Ruimtegroepen[#All],2,FALSE)</f>
        <v>Sanitair</v>
      </c>
      <c r="L730" s="202" t="s">
        <v>108</v>
      </c>
      <c r="M730" s="187" t="s">
        <v>1206</v>
      </c>
      <c r="N730" s="200">
        <v>37.130000000000003</v>
      </c>
      <c r="O730" s="200"/>
      <c r="P730" s="231" t="str">
        <f>VLOOKUP(Ruimtestaat[[#This Row],[Ruimte code]],Ruimtegroepen[#All],4,FALSE)</f>
        <v>S  (Sanitair)</v>
      </c>
      <c r="Q730" s="201"/>
      <c r="R730" s="202">
        <v>42</v>
      </c>
      <c r="S730" s="202" t="s">
        <v>19</v>
      </c>
      <c r="T730" s="202">
        <f>IF(R730&gt;0,IF(RIGHT(Ruimtestaat[[#This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730" s="202">
        <f>IF(T730&gt;0,VLOOKUP($J730,Ruimtegroepen[],3,FALSE)*VLOOKUP($L730,Vloersoorten[],3,FALSE)*VLOOKUP($S730,Frequenties[],3,FALSE)*VLOOKUP($A730,Locaties[],3,FALSE),0)</f>
        <v>0</v>
      </c>
      <c r="V730" s="202">
        <f>Ruimtestaat[[#This Row],[Uitvoeringen werkdagen]]*Ruimtestaat[[#This Row],[Oppervlak (netto)]]</f>
        <v>15594.6</v>
      </c>
      <c r="W730" s="242">
        <f>IF(U730&gt;0,Ruimtestaat[[#This Row],[Prest. (m2 /jaar) werkdagen]]/Ruimtestaat[[#This Row],[Norm (m2/uur) werkdagen]],0)</f>
        <v>0</v>
      </c>
      <c r="X730" s="243">
        <f>Ruimtestaat[[#This Row],[uren / jaar werkdagen]]*Tariefsopbouw!$D$38</f>
        <v>0</v>
      </c>
      <c r="Y730" s="33"/>
      <c r="Z730" s="33">
        <f>IF(Ruimtestaat[[#This Row],[Frequentie weekend]]&gt;0,VALUE(LEFT(Y730,1))*R730,0)</f>
        <v>0</v>
      </c>
      <c r="AA730" s="33">
        <f>IF($Z730&gt;0,VLOOKUP($J730,Ruimtegroepen[],3,FALSE)*VLOOKUP($L730,Vloersoorten[],3,FALSE)*VLOOKUP($Y730,Frequenties[],3,FALSE)*VLOOKUP(#REF!,Locaties[],3,FALSE),0)</f>
        <v>0</v>
      </c>
      <c r="AB730" s="33"/>
      <c r="AC730" s="33"/>
      <c r="AD730" s="33">
        <f>Ruimtestaat[[#This Row],[uren / jaar weekend]]*Tariefsopbouw!$D$40</f>
        <v>0</v>
      </c>
      <c r="AE730" s="86">
        <f>Ruimtestaat[[#This Row],[Prest. (m2 /jaar) weekend]]+Ruimtestaat[[#This Row],[Prest. (m2 /jaar) werkdagen]]</f>
        <v>15594.6</v>
      </c>
      <c r="AF730" s="86">
        <f>Ruimtestaat[[#This Row],[uren / jaar weekend]]+Ruimtestaat[[#This Row],[uren / jaar werkdagen]]</f>
        <v>0</v>
      </c>
      <c r="AG730" s="87">
        <f>Ruimtestaat[[#This Row],[kosten / jaar weekend]]+Ruimtestaat[[#This Row],[kosten / jaar werkdagen]]</f>
        <v>0</v>
      </c>
    </row>
    <row r="731" spans="1:33" ht="15" customHeight="1">
      <c r="A731" s="187">
        <v>6</v>
      </c>
      <c r="B731" s="21" t="str">
        <f>VLOOKUP(Ruimtestaat[[#This Row],[Code]],Locaties[#All],2,FALSE)</f>
        <v>De Thij</v>
      </c>
      <c r="C731" s="231" t="str">
        <f>VLOOKUP(Ruimtestaat[[#This Row],[Code]],Locaties[#All],4,FALSE)</f>
        <v>Thijlaan 30</v>
      </c>
      <c r="D731" s="231" t="str">
        <f>VLOOKUP(Ruimtestaat[[#This Row],[Code]],Locaties[#All],5,FALSE)</f>
        <v>7576 ZB</v>
      </c>
      <c r="E731" s="187" t="str">
        <f>VLOOKUP(Ruimtestaat[[#This Row],[Code]],Locaties[#All],6,FALSE)</f>
        <v>Oldenzaal</v>
      </c>
      <c r="F731" s="232"/>
      <c r="G731" s="187" t="s">
        <v>679</v>
      </c>
      <c r="H731" s="187" t="s">
        <v>436</v>
      </c>
      <c r="I731" s="232" t="s">
        <v>607</v>
      </c>
      <c r="J731" s="187">
        <v>1</v>
      </c>
      <c r="K731" s="187" t="str">
        <f>VLOOKUP(Ruimtestaat[[#This Row],[Ruimte code]],Ruimtegroepen[#All],2,FALSE)</f>
        <v>Magazijnen/bergingen</v>
      </c>
      <c r="L731" s="231" t="s">
        <v>677</v>
      </c>
      <c r="M731" s="187" t="s">
        <v>270</v>
      </c>
      <c r="N731" s="200">
        <v>25.84</v>
      </c>
      <c r="O731" s="200"/>
      <c r="P731" s="231" t="str">
        <f>VLOOKUP(Ruimtestaat[[#This Row],[Ruimte code]],Ruimtegroepen[#All],4,FALSE)</f>
        <v>V  (Verkeersruimte)</v>
      </c>
      <c r="Q731" s="201"/>
      <c r="R731" s="202">
        <v>42</v>
      </c>
      <c r="S731" s="202" t="s">
        <v>15</v>
      </c>
      <c r="T731" s="202">
        <f>IF(R731&gt;0,IF(RIGHT(Ruimtestaat[[#This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731" s="202">
        <f>IF(T731&gt;0,VLOOKUP($J731,Ruimtegroepen[],3,FALSE)*VLOOKUP($L731,Vloersoorten[],3,FALSE)*VLOOKUP($S731,Frequenties[],3,FALSE)*VLOOKUP($A731,Locaties[],3,FALSE),0)</f>
        <v>0</v>
      </c>
      <c r="V731" s="202">
        <f>Ruimtestaat[[#This Row],[Uitvoeringen werkdagen]]*Ruimtestaat[[#This Row],[Oppervlak (netto)]]</f>
        <v>1085.28</v>
      </c>
      <c r="W731" s="242">
        <f>IF(U731&gt;0,Ruimtestaat[[#This Row],[Prest. (m2 /jaar) werkdagen]]/Ruimtestaat[[#This Row],[Norm (m2/uur) werkdagen]],0)</f>
        <v>0</v>
      </c>
      <c r="X731" s="243">
        <f>Ruimtestaat[[#This Row],[uren / jaar werkdagen]]*Tariefsopbouw!$D$38</f>
        <v>0</v>
      </c>
      <c r="Y731" s="33"/>
      <c r="Z731" s="33">
        <f>IF(Ruimtestaat[[#This Row],[Frequentie weekend]]&gt;0,VALUE(LEFT(Y731,1))*R731,0)</f>
        <v>0</v>
      </c>
      <c r="AA731" s="33">
        <f>IF($Z731&gt;0,VLOOKUP($J731,Ruimtegroepen[],3,FALSE)*VLOOKUP($L731,Vloersoorten[],3,FALSE)*VLOOKUP($Y731,Frequenties[],3,FALSE)*VLOOKUP(#REF!,Locaties[],3,FALSE),0)</f>
        <v>0</v>
      </c>
      <c r="AB731" s="33"/>
      <c r="AC731" s="33"/>
      <c r="AD731" s="33">
        <f>Ruimtestaat[[#This Row],[uren / jaar weekend]]*Tariefsopbouw!$D$40</f>
        <v>0</v>
      </c>
      <c r="AE731" s="86">
        <f>Ruimtestaat[[#This Row],[Prest. (m2 /jaar) weekend]]+Ruimtestaat[[#This Row],[Prest. (m2 /jaar) werkdagen]]</f>
        <v>1085.28</v>
      </c>
      <c r="AF731" s="86">
        <f>Ruimtestaat[[#This Row],[uren / jaar weekend]]+Ruimtestaat[[#This Row],[uren / jaar werkdagen]]</f>
        <v>0</v>
      </c>
      <c r="AG731" s="87">
        <f>Ruimtestaat[[#This Row],[kosten / jaar weekend]]+Ruimtestaat[[#This Row],[kosten / jaar werkdagen]]</f>
        <v>0</v>
      </c>
    </row>
    <row r="732" spans="1:33" ht="15" customHeight="1">
      <c r="A732" s="187">
        <v>6</v>
      </c>
      <c r="B732" s="21" t="str">
        <f>VLOOKUP(Ruimtestaat[[#This Row],[Code]],Locaties[#All],2,FALSE)</f>
        <v>De Thij</v>
      </c>
      <c r="C732" s="231" t="str">
        <f>VLOOKUP(Ruimtestaat[[#This Row],[Code]],Locaties[#All],4,FALSE)</f>
        <v>Thijlaan 30</v>
      </c>
      <c r="D732" s="231" t="str">
        <f>VLOOKUP(Ruimtestaat[[#This Row],[Code]],Locaties[#All],5,FALSE)</f>
        <v>7576 ZB</v>
      </c>
      <c r="E732" s="187" t="str">
        <f>VLOOKUP(Ruimtestaat[[#This Row],[Code]],Locaties[#All],6,FALSE)</f>
        <v>Oldenzaal</v>
      </c>
      <c r="F732" s="232"/>
      <c r="G732" s="187" t="s">
        <v>679</v>
      </c>
      <c r="H732" s="187" t="s">
        <v>806</v>
      </c>
      <c r="I732" s="232" t="s">
        <v>593</v>
      </c>
      <c r="J732" s="187">
        <v>8</v>
      </c>
      <c r="K732" s="187" t="str">
        <f>VLOOKUP(Ruimtestaat[[#This Row],[Ruimte code]],Ruimtegroepen[#All],2,FALSE)</f>
        <v>Receptie</v>
      </c>
      <c r="L732" s="231" t="s">
        <v>677</v>
      </c>
      <c r="M732" s="187" t="s">
        <v>270</v>
      </c>
      <c r="N732" s="200">
        <v>31.98</v>
      </c>
      <c r="O732" s="200"/>
      <c r="P732" s="231" t="str">
        <f>VLOOKUP(Ruimtestaat[[#This Row],[Ruimte code]],Ruimtegroepen[#All],4,FALSE)</f>
        <v>V  (Verkeersruimte)</v>
      </c>
      <c r="Q732" s="201"/>
      <c r="R732" s="202">
        <v>42</v>
      </c>
      <c r="S732" s="202" t="s">
        <v>2</v>
      </c>
      <c r="T732" s="202">
        <f>IF(R732&gt;0,IF(RIGHT(Ruimtestaat[[#This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32" s="202">
        <f>IF(T732&gt;0,VLOOKUP($J732,Ruimtegroepen[],3,FALSE)*VLOOKUP($L732,Vloersoorten[],3,FALSE)*VLOOKUP($S732,Frequenties[],3,FALSE)*VLOOKUP($A732,Locaties[],3,FALSE),0)</f>
        <v>0</v>
      </c>
      <c r="V732" s="202">
        <f>Ruimtestaat[[#This Row],[Uitvoeringen werkdagen]]*Ruimtestaat[[#This Row],[Oppervlak (netto)]]</f>
        <v>6715.8</v>
      </c>
      <c r="W732" s="242">
        <f>IF(U732&gt;0,Ruimtestaat[[#This Row],[Prest. (m2 /jaar) werkdagen]]/Ruimtestaat[[#This Row],[Norm (m2/uur) werkdagen]],0)</f>
        <v>0</v>
      </c>
      <c r="X732" s="243">
        <f>Ruimtestaat[[#This Row],[uren / jaar werkdagen]]*Tariefsopbouw!$D$38</f>
        <v>0</v>
      </c>
      <c r="Y732" s="33"/>
      <c r="Z732" s="33">
        <f>IF(Ruimtestaat[[#This Row],[Frequentie weekend]]&gt;0,VALUE(LEFT(Y732,1))*R732,0)</f>
        <v>0</v>
      </c>
      <c r="AA732" s="33">
        <f>IF($Z732&gt;0,VLOOKUP($J732,Ruimtegroepen[],3,FALSE)*VLOOKUP($L732,Vloersoorten[],3,FALSE)*VLOOKUP($Y732,Frequenties[],3,FALSE)*VLOOKUP(#REF!,Locaties[],3,FALSE),0)</f>
        <v>0</v>
      </c>
      <c r="AB732" s="33"/>
      <c r="AC732" s="33"/>
      <c r="AD732" s="33">
        <f>Ruimtestaat[[#This Row],[uren / jaar weekend]]*Tariefsopbouw!$D$40</f>
        <v>0</v>
      </c>
      <c r="AE732" s="86">
        <f>Ruimtestaat[[#This Row],[Prest. (m2 /jaar) weekend]]+Ruimtestaat[[#This Row],[Prest. (m2 /jaar) werkdagen]]</f>
        <v>6715.8</v>
      </c>
      <c r="AF732" s="86">
        <f>Ruimtestaat[[#This Row],[uren / jaar weekend]]+Ruimtestaat[[#This Row],[uren / jaar werkdagen]]</f>
        <v>0</v>
      </c>
      <c r="AG732" s="87">
        <f>Ruimtestaat[[#This Row],[kosten / jaar weekend]]+Ruimtestaat[[#This Row],[kosten / jaar werkdagen]]</f>
        <v>0</v>
      </c>
    </row>
    <row r="733" spans="1:33" ht="15" customHeight="1">
      <c r="A733" s="187">
        <v>6</v>
      </c>
      <c r="B733" s="21" t="str">
        <f>VLOOKUP(Ruimtestaat[[#This Row],[Code]],Locaties[#All],2,FALSE)</f>
        <v>De Thij</v>
      </c>
      <c r="C733" s="231" t="str">
        <f>VLOOKUP(Ruimtestaat[[#This Row],[Code]],Locaties[#All],4,FALSE)</f>
        <v>Thijlaan 30</v>
      </c>
      <c r="D733" s="231" t="str">
        <f>VLOOKUP(Ruimtestaat[[#This Row],[Code]],Locaties[#All],5,FALSE)</f>
        <v>7576 ZB</v>
      </c>
      <c r="E733" s="187" t="str">
        <f>VLOOKUP(Ruimtestaat[[#This Row],[Code]],Locaties[#All],6,FALSE)</f>
        <v>Oldenzaal</v>
      </c>
      <c r="F733" s="232"/>
      <c r="G733" s="187" t="s">
        <v>679</v>
      </c>
      <c r="H733" s="187" t="s">
        <v>438</v>
      </c>
      <c r="I733" s="232" t="s">
        <v>640</v>
      </c>
      <c r="J733" s="187">
        <v>12</v>
      </c>
      <c r="K733" s="187" t="str">
        <f>VLOOKUP(Ruimtestaat[[#This Row],[Ruimte code]],Ruimtegroepen[#All],2,FALSE)</f>
        <v>Kantine/aula</v>
      </c>
      <c r="L733" s="231" t="s">
        <v>677</v>
      </c>
      <c r="M733" s="187" t="s">
        <v>270</v>
      </c>
      <c r="N733" s="200">
        <v>561.54</v>
      </c>
      <c r="O733" s="200"/>
      <c r="P733" s="231" t="str">
        <f>VLOOKUP(Ruimtestaat[[#This Row],[Ruimte code]],Ruimtegroepen[#All],4,FALSE)</f>
        <v>V  (Verkeersruimte)</v>
      </c>
      <c r="Q733" s="201"/>
      <c r="R733" s="202">
        <v>42</v>
      </c>
      <c r="S733" s="202" t="s">
        <v>2</v>
      </c>
      <c r="T733" s="202">
        <f>IF(R733&gt;0,IF(RIGHT(Ruimtestaat[[#This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33" s="202">
        <f>IF(T733&gt;0,VLOOKUP($J733,Ruimtegroepen[],3,FALSE)*VLOOKUP($L733,Vloersoorten[],3,FALSE)*VLOOKUP($S733,Frequenties[],3,FALSE)*VLOOKUP($A733,Locaties[],3,FALSE),0)</f>
        <v>0</v>
      </c>
      <c r="V733" s="202">
        <f>Ruimtestaat[[#This Row],[Uitvoeringen werkdagen]]*Ruimtestaat[[#This Row],[Oppervlak (netto)]]</f>
        <v>117923.4</v>
      </c>
      <c r="W733" s="242">
        <f>IF(U733&gt;0,Ruimtestaat[[#This Row],[Prest. (m2 /jaar) werkdagen]]/Ruimtestaat[[#This Row],[Norm (m2/uur) werkdagen]],0)</f>
        <v>0</v>
      </c>
      <c r="X733" s="243">
        <f>Ruimtestaat[[#This Row],[uren / jaar werkdagen]]*Tariefsopbouw!$D$38</f>
        <v>0</v>
      </c>
      <c r="Y733" s="33"/>
      <c r="Z733" s="33">
        <f>IF(Ruimtestaat[[#This Row],[Frequentie weekend]]&gt;0,VALUE(LEFT(Y733,1))*R733,0)</f>
        <v>0</v>
      </c>
      <c r="AA733" s="33">
        <f>IF($Z733&gt;0,VLOOKUP($J733,Ruimtegroepen[],3,FALSE)*VLOOKUP($L733,Vloersoorten[],3,FALSE)*VLOOKUP($Y733,Frequenties[],3,FALSE)*VLOOKUP(#REF!,Locaties[],3,FALSE),0)</f>
        <v>0</v>
      </c>
      <c r="AB733" s="33"/>
      <c r="AC733" s="33"/>
      <c r="AD733" s="33">
        <f>Ruimtestaat[[#This Row],[uren / jaar weekend]]*Tariefsopbouw!$D$40</f>
        <v>0</v>
      </c>
      <c r="AE733" s="86">
        <f>Ruimtestaat[[#This Row],[Prest. (m2 /jaar) weekend]]+Ruimtestaat[[#This Row],[Prest. (m2 /jaar) werkdagen]]</f>
        <v>117923.4</v>
      </c>
      <c r="AF733" s="86">
        <f>Ruimtestaat[[#This Row],[uren / jaar weekend]]+Ruimtestaat[[#This Row],[uren / jaar werkdagen]]</f>
        <v>0</v>
      </c>
      <c r="AG733" s="87">
        <f>Ruimtestaat[[#This Row],[kosten / jaar weekend]]+Ruimtestaat[[#This Row],[kosten / jaar werkdagen]]</f>
        <v>0</v>
      </c>
    </row>
    <row r="734" spans="1:33" ht="15" customHeight="1">
      <c r="A734" s="187">
        <v>6</v>
      </c>
      <c r="B734" s="21" t="str">
        <f>VLOOKUP(Ruimtestaat[[#This Row],[Code]],Locaties[#All],2,FALSE)</f>
        <v>De Thij</v>
      </c>
      <c r="C734" s="231" t="str">
        <f>VLOOKUP(Ruimtestaat[[#This Row],[Code]],Locaties[#All],4,FALSE)</f>
        <v>Thijlaan 30</v>
      </c>
      <c r="D734" s="231" t="str">
        <f>VLOOKUP(Ruimtestaat[[#This Row],[Code]],Locaties[#All],5,FALSE)</f>
        <v>7576 ZB</v>
      </c>
      <c r="E734" s="187" t="str">
        <f>VLOOKUP(Ruimtestaat[[#This Row],[Code]],Locaties[#All],6,FALSE)</f>
        <v>Oldenzaal</v>
      </c>
      <c r="F734" s="232"/>
      <c r="G734" s="187" t="s">
        <v>679</v>
      </c>
      <c r="H734" s="187" t="s">
        <v>439</v>
      </c>
      <c r="I734" s="232" t="s">
        <v>40</v>
      </c>
      <c r="J734" s="187">
        <v>7</v>
      </c>
      <c r="K734" s="187" t="str">
        <f>VLOOKUP(Ruimtestaat[[#This Row],[Ruimte code]],Ruimtegroepen[#All],2,FALSE)</f>
        <v>Entree / buitenentree</v>
      </c>
      <c r="L734" s="231" t="s">
        <v>677</v>
      </c>
      <c r="M734" s="187" t="s">
        <v>270</v>
      </c>
      <c r="N734" s="200">
        <v>32</v>
      </c>
      <c r="O734" s="200"/>
      <c r="P734" s="231" t="str">
        <f>VLOOKUP(Ruimtestaat[[#This Row],[Ruimte code]],Ruimtegroepen[#All],4,FALSE)</f>
        <v>V  (Verkeersruimte)</v>
      </c>
      <c r="Q734" s="201"/>
      <c r="R734" s="202">
        <v>42</v>
      </c>
      <c r="S734" s="202" t="s">
        <v>2</v>
      </c>
      <c r="T734" s="202">
        <f>IF(R734&gt;0,IF(RIGHT(Ruimtestaat[[#This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34" s="202">
        <f>IF(T734&gt;0,VLOOKUP($J734,Ruimtegroepen[],3,FALSE)*VLOOKUP($L734,Vloersoorten[],3,FALSE)*VLOOKUP($S734,Frequenties[],3,FALSE)*VLOOKUP($A734,Locaties[],3,FALSE),0)</f>
        <v>0</v>
      </c>
      <c r="V734" s="202">
        <f>Ruimtestaat[[#This Row],[Uitvoeringen werkdagen]]*Ruimtestaat[[#This Row],[Oppervlak (netto)]]</f>
        <v>6720</v>
      </c>
      <c r="W734" s="242">
        <f>IF(U734&gt;0,Ruimtestaat[[#This Row],[Prest. (m2 /jaar) werkdagen]]/Ruimtestaat[[#This Row],[Norm (m2/uur) werkdagen]],0)</f>
        <v>0</v>
      </c>
      <c r="X734" s="243">
        <f>Ruimtestaat[[#This Row],[uren / jaar werkdagen]]*Tariefsopbouw!$D$38</f>
        <v>0</v>
      </c>
      <c r="Y734" s="33"/>
      <c r="Z734" s="33">
        <f>IF(Ruimtestaat[[#This Row],[Frequentie weekend]]&gt;0,VALUE(LEFT(Y734,1))*R734,0)</f>
        <v>0</v>
      </c>
      <c r="AA734" s="33">
        <f>IF($Z734&gt;0,VLOOKUP($J734,Ruimtegroepen[],3,FALSE)*VLOOKUP($L734,Vloersoorten[],3,FALSE)*VLOOKUP($Y734,Frequenties[],3,FALSE)*VLOOKUP(#REF!,Locaties[],3,FALSE),0)</f>
        <v>0</v>
      </c>
      <c r="AB734" s="33"/>
      <c r="AC734" s="33"/>
      <c r="AD734" s="33">
        <f>Ruimtestaat[[#This Row],[uren / jaar weekend]]*Tariefsopbouw!$D$40</f>
        <v>0</v>
      </c>
      <c r="AE734" s="86">
        <f>Ruimtestaat[[#This Row],[Prest. (m2 /jaar) weekend]]+Ruimtestaat[[#This Row],[Prest. (m2 /jaar) werkdagen]]</f>
        <v>6720</v>
      </c>
      <c r="AF734" s="86">
        <f>Ruimtestaat[[#This Row],[uren / jaar weekend]]+Ruimtestaat[[#This Row],[uren / jaar werkdagen]]</f>
        <v>0</v>
      </c>
      <c r="AG734" s="87">
        <f>Ruimtestaat[[#This Row],[kosten / jaar weekend]]+Ruimtestaat[[#This Row],[kosten / jaar werkdagen]]</f>
        <v>0</v>
      </c>
    </row>
    <row r="735" spans="1:33" ht="15" customHeight="1">
      <c r="A735" s="187">
        <v>6</v>
      </c>
      <c r="B735" s="21" t="str">
        <f>VLOOKUP(Ruimtestaat[[#This Row],[Code]],Locaties[#All],2,FALSE)</f>
        <v>De Thij</v>
      </c>
      <c r="C735" s="231" t="str">
        <f>VLOOKUP(Ruimtestaat[[#This Row],[Code]],Locaties[#All],4,FALSE)</f>
        <v>Thijlaan 30</v>
      </c>
      <c r="D735" s="231" t="str">
        <f>VLOOKUP(Ruimtestaat[[#This Row],[Code]],Locaties[#All],5,FALSE)</f>
        <v>7576 ZB</v>
      </c>
      <c r="E735" s="187" t="str">
        <f>VLOOKUP(Ruimtestaat[[#This Row],[Code]],Locaties[#All],6,FALSE)</f>
        <v>Oldenzaal</v>
      </c>
      <c r="F735" s="232"/>
      <c r="G735" s="187" t="s">
        <v>679</v>
      </c>
      <c r="H735" s="187" t="s">
        <v>441</v>
      </c>
      <c r="I735" s="232" t="s">
        <v>641</v>
      </c>
      <c r="J735" s="231">
        <v>1</v>
      </c>
      <c r="K735" s="231" t="str">
        <f>VLOOKUP(Ruimtestaat[[#This Row],[Ruimte code]],Ruimtegroepen[#All],2,FALSE)</f>
        <v>Magazijnen/bergingen</v>
      </c>
      <c r="L735" s="231" t="s">
        <v>677</v>
      </c>
      <c r="M735" s="187" t="s">
        <v>270</v>
      </c>
      <c r="N735" s="200">
        <v>16</v>
      </c>
      <c r="O735" s="200"/>
      <c r="P735" s="231" t="str">
        <f>VLOOKUP(Ruimtestaat[[#This Row],[Ruimte code]],Ruimtegroepen[#All],4,FALSE)</f>
        <v>V  (Verkeersruimte)</v>
      </c>
      <c r="Q735" s="201"/>
      <c r="R735" s="202">
        <v>42</v>
      </c>
      <c r="S735" s="202" t="s">
        <v>15</v>
      </c>
      <c r="T735" s="202">
        <f>IF(R735&gt;0,IF(RIGHT(Ruimtestaat[[#This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735" s="202">
        <f>IF(T735&gt;0,VLOOKUP($J735,Ruimtegroepen[],3,FALSE)*VLOOKUP($L735,Vloersoorten[],3,FALSE)*VLOOKUP($S735,Frequenties[],3,FALSE)*VLOOKUP($A735,Locaties[],3,FALSE),0)</f>
        <v>0</v>
      </c>
      <c r="V735" s="202">
        <f>Ruimtestaat[[#This Row],[Uitvoeringen werkdagen]]*Ruimtestaat[[#This Row],[Oppervlak (netto)]]</f>
        <v>672</v>
      </c>
      <c r="W735" s="242">
        <f>IF(U735&gt;0,Ruimtestaat[[#This Row],[Prest. (m2 /jaar) werkdagen]]/Ruimtestaat[[#This Row],[Norm (m2/uur) werkdagen]],0)</f>
        <v>0</v>
      </c>
      <c r="X735" s="243">
        <f>Ruimtestaat[[#This Row],[uren / jaar werkdagen]]*Tariefsopbouw!$D$38</f>
        <v>0</v>
      </c>
      <c r="Y735" s="33"/>
      <c r="Z735" s="33">
        <f>IF(Ruimtestaat[[#This Row],[Frequentie weekend]]&gt;0,VALUE(LEFT(Y735,1))*R735,0)</f>
        <v>0</v>
      </c>
      <c r="AA735" s="33">
        <f>IF($Z735&gt;0,VLOOKUP($J735,Ruimtegroepen[],3,FALSE)*VLOOKUP($L735,Vloersoorten[],3,FALSE)*VLOOKUP($Y735,Frequenties[],3,FALSE)*VLOOKUP(#REF!,Locaties[],3,FALSE),0)</f>
        <v>0</v>
      </c>
      <c r="AB735" s="33"/>
      <c r="AC735" s="33"/>
      <c r="AD735" s="33">
        <f>Ruimtestaat[[#This Row],[uren / jaar weekend]]*Tariefsopbouw!$D$40</f>
        <v>0</v>
      </c>
      <c r="AE735" s="86">
        <f>Ruimtestaat[[#This Row],[Prest. (m2 /jaar) weekend]]+Ruimtestaat[[#This Row],[Prest. (m2 /jaar) werkdagen]]</f>
        <v>672</v>
      </c>
      <c r="AF735" s="86">
        <f>Ruimtestaat[[#This Row],[uren / jaar weekend]]+Ruimtestaat[[#This Row],[uren / jaar werkdagen]]</f>
        <v>0</v>
      </c>
      <c r="AG735" s="87">
        <f>Ruimtestaat[[#This Row],[kosten / jaar weekend]]+Ruimtestaat[[#This Row],[kosten / jaar werkdagen]]</f>
        <v>0</v>
      </c>
    </row>
    <row r="736" spans="1:33" ht="15" customHeight="1">
      <c r="A736" s="187">
        <v>6</v>
      </c>
      <c r="B736" s="21" t="str">
        <f>VLOOKUP(Ruimtestaat[[#This Row],[Code]],Locaties[#All],2,FALSE)</f>
        <v>De Thij</v>
      </c>
      <c r="C736" s="231" t="str">
        <f>VLOOKUP(Ruimtestaat[[#This Row],[Code]],Locaties[#All],4,FALSE)</f>
        <v>Thijlaan 30</v>
      </c>
      <c r="D736" s="231" t="str">
        <f>VLOOKUP(Ruimtestaat[[#This Row],[Code]],Locaties[#All],5,FALSE)</f>
        <v>7576 ZB</v>
      </c>
      <c r="E736" s="187" t="str">
        <f>VLOOKUP(Ruimtestaat[[#This Row],[Code]],Locaties[#All],6,FALSE)</f>
        <v>Oldenzaal</v>
      </c>
      <c r="F736" s="232"/>
      <c r="G736" s="187" t="s">
        <v>679</v>
      </c>
      <c r="H736" s="187" t="s">
        <v>443</v>
      </c>
      <c r="I736" s="232" t="s">
        <v>615</v>
      </c>
      <c r="J736" s="187">
        <v>10</v>
      </c>
      <c r="K736" s="187" t="str">
        <f>VLOOKUP(Ruimtestaat[[#This Row],[Ruimte code]],Ruimtegroepen[#All],2,FALSE)</f>
        <v>Trappenhuizen/lift</v>
      </c>
      <c r="L736" s="231" t="s">
        <v>677</v>
      </c>
      <c r="M736" s="187" t="s">
        <v>270</v>
      </c>
      <c r="N736" s="200">
        <v>3.3</v>
      </c>
      <c r="O736" s="200"/>
      <c r="P736" s="231" t="str">
        <f>VLOOKUP(Ruimtestaat[[#This Row],[Ruimte code]],Ruimtegroepen[#All],4,FALSE)</f>
        <v>V  (Verkeersruimte)</v>
      </c>
      <c r="Q736" s="201"/>
      <c r="R736" s="202">
        <v>42</v>
      </c>
      <c r="S736" s="202" t="s">
        <v>2</v>
      </c>
      <c r="T736" s="202">
        <f>IF(R736&gt;0,IF(RIGHT(Ruimtestaat[[#This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36" s="202">
        <f>IF(T736&gt;0,VLOOKUP($J736,Ruimtegroepen[],3,FALSE)*VLOOKUP($L736,Vloersoorten[],3,FALSE)*VLOOKUP($S736,Frequenties[],3,FALSE)*VLOOKUP($A736,Locaties[],3,FALSE),0)</f>
        <v>0</v>
      </c>
      <c r="V736" s="202">
        <f>Ruimtestaat[[#This Row],[Uitvoeringen werkdagen]]*Ruimtestaat[[#This Row],[Oppervlak (netto)]]</f>
        <v>693</v>
      </c>
      <c r="W736" s="242">
        <f>IF(U736&gt;0,Ruimtestaat[[#This Row],[Prest. (m2 /jaar) werkdagen]]/Ruimtestaat[[#This Row],[Norm (m2/uur) werkdagen]],0)</f>
        <v>0</v>
      </c>
      <c r="X736" s="243">
        <f>Ruimtestaat[[#This Row],[uren / jaar werkdagen]]*Tariefsopbouw!$D$38</f>
        <v>0</v>
      </c>
      <c r="Y736" s="33"/>
      <c r="Z736" s="33">
        <f>IF(Ruimtestaat[[#This Row],[Frequentie weekend]]&gt;0,VALUE(LEFT(Y736,1))*R736,0)</f>
        <v>0</v>
      </c>
      <c r="AA736" s="33">
        <f>IF($Z736&gt;0,VLOOKUP($J736,Ruimtegroepen[],3,FALSE)*VLOOKUP($L736,Vloersoorten[],3,FALSE)*VLOOKUP($Y736,Frequenties[],3,FALSE)*VLOOKUP(#REF!,Locaties[],3,FALSE),0)</f>
        <v>0</v>
      </c>
      <c r="AB736" s="33"/>
      <c r="AC736" s="33"/>
      <c r="AD736" s="33">
        <f>Ruimtestaat[[#This Row],[uren / jaar weekend]]*Tariefsopbouw!$D$40</f>
        <v>0</v>
      </c>
      <c r="AE736" s="86">
        <f>Ruimtestaat[[#This Row],[Prest. (m2 /jaar) weekend]]+Ruimtestaat[[#This Row],[Prest. (m2 /jaar) werkdagen]]</f>
        <v>693</v>
      </c>
      <c r="AF736" s="86">
        <f>Ruimtestaat[[#This Row],[uren / jaar weekend]]+Ruimtestaat[[#This Row],[uren / jaar werkdagen]]</f>
        <v>0</v>
      </c>
      <c r="AG736" s="87">
        <f>Ruimtestaat[[#This Row],[kosten / jaar weekend]]+Ruimtestaat[[#This Row],[kosten / jaar werkdagen]]</f>
        <v>0</v>
      </c>
    </row>
    <row r="737" spans="1:219" ht="15" customHeight="1">
      <c r="A737" s="187">
        <v>6</v>
      </c>
      <c r="B737" s="21" t="str">
        <f>VLOOKUP(Ruimtestaat[[#This Row],[Code]],Locaties[#All],2,FALSE)</f>
        <v>De Thij</v>
      </c>
      <c r="C737" s="231" t="str">
        <f>VLOOKUP(Ruimtestaat[[#This Row],[Code]],Locaties[#All],4,FALSE)</f>
        <v>Thijlaan 30</v>
      </c>
      <c r="D737" s="231" t="str">
        <f>VLOOKUP(Ruimtestaat[[#This Row],[Code]],Locaties[#All],5,FALSE)</f>
        <v>7576 ZB</v>
      </c>
      <c r="E737" s="187" t="str">
        <f>VLOOKUP(Ruimtestaat[[#This Row],[Code]],Locaties[#All],6,FALSE)</f>
        <v>Oldenzaal</v>
      </c>
      <c r="F737" s="232"/>
      <c r="G737" s="187" t="s">
        <v>679</v>
      </c>
      <c r="H737" s="187" t="s">
        <v>444</v>
      </c>
      <c r="I737" s="232" t="s">
        <v>428</v>
      </c>
      <c r="J737" s="187">
        <v>15</v>
      </c>
      <c r="K737" s="187" t="str">
        <f>VLOOKUP(Ruimtestaat[[#This Row],[Ruimte code]],Ruimtegroepen[#All],2,FALSE)</f>
        <v>Keuken/pantry/rookruimte</v>
      </c>
      <c r="L737" s="202" t="s">
        <v>108</v>
      </c>
      <c r="M737" s="187" t="s">
        <v>1206</v>
      </c>
      <c r="N737" s="200">
        <v>71.92</v>
      </c>
      <c r="O737" s="200"/>
      <c r="P737" s="231" t="str">
        <f>VLOOKUP(Ruimtestaat[[#This Row],[Ruimte code]],Ruimtegroepen[#All],4,FALSE)</f>
        <v>V  (Verkeersruimte)</v>
      </c>
      <c r="Q737" s="201"/>
      <c r="R737" s="202">
        <v>42</v>
      </c>
      <c r="S737" s="202" t="s">
        <v>2</v>
      </c>
      <c r="T737" s="202">
        <f>IF(R737&gt;0,IF(RIGHT(Ruimtestaat[[#This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37" s="202">
        <f>IF(T737&gt;0,VLOOKUP($J737,Ruimtegroepen[],3,FALSE)*VLOOKUP($L737,Vloersoorten[],3,FALSE)*VLOOKUP($S737,Frequenties[],3,FALSE)*VLOOKUP($A737,Locaties[],3,FALSE),0)</f>
        <v>0</v>
      </c>
      <c r="V737" s="202">
        <f>Ruimtestaat[[#This Row],[Uitvoeringen werkdagen]]*Ruimtestaat[[#This Row],[Oppervlak (netto)]]</f>
        <v>15103.2</v>
      </c>
      <c r="W737" s="242">
        <f>IF(U737&gt;0,Ruimtestaat[[#This Row],[Prest. (m2 /jaar) werkdagen]]/Ruimtestaat[[#This Row],[Norm (m2/uur) werkdagen]],0)</f>
        <v>0</v>
      </c>
      <c r="X737" s="243">
        <f>Ruimtestaat[[#This Row],[uren / jaar werkdagen]]*Tariefsopbouw!$D$38</f>
        <v>0</v>
      </c>
      <c r="Y737" s="33"/>
      <c r="Z737" s="33">
        <f>IF(Ruimtestaat[[#This Row],[Frequentie weekend]]&gt;0,VALUE(LEFT(Y737,1))*R737,0)</f>
        <v>0</v>
      </c>
      <c r="AA737" s="33">
        <f>IF($Z737&gt;0,VLOOKUP($J737,Ruimtegroepen[],3,FALSE)*VLOOKUP($L737,Vloersoorten[],3,FALSE)*VLOOKUP($Y737,Frequenties[],3,FALSE)*VLOOKUP(#REF!,Locaties[],3,FALSE),0)</f>
        <v>0</v>
      </c>
      <c r="AB737" s="33"/>
      <c r="AC737" s="33"/>
      <c r="AD737" s="33">
        <f>Ruimtestaat[[#This Row],[uren / jaar weekend]]*Tariefsopbouw!$D$40</f>
        <v>0</v>
      </c>
      <c r="AE737" s="86">
        <f>Ruimtestaat[[#This Row],[Prest. (m2 /jaar) weekend]]+Ruimtestaat[[#This Row],[Prest. (m2 /jaar) werkdagen]]</f>
        <v>15103.2</v>
      </c>
      <c r="AF737" s="86">
        <f>Ruimtestaat[[#This Row],[uren / jaar weekend]]+Ruimtestaat[[#This Row],[uren / jaar werkdagen]]</f>
        <v>0</v>
      </c>
      <c r="AG737" s="87">
        <f>Ruimtestaat[[#This Row],[kosten / jaar weekend]]+Ruimtestaat[[#This Row],[kosten / jaar werkdagen]]</f>
        <v>0</v>
      </c>
    </row>
    <row r="738" spans="1:219" ht="15" customHeight="1">
      <c r="A738" s="187">
        <v>6</v>
      </c>
      <c r="B738" s="21" t="str">
        <f>VLOOKUP(Ruimtestaat[[#This Row],[Code]],Locaties[#All],2,FALSE)</f>
        <v>De Thij</v>
      </c>
      <c r="C738" s="231" t="str">
        <f>VLOOKUP(Ruimtestaat[[#This Row],[Code]],Locaties[#All],4,FALSE)</f>
        <v>Thijlaan 30</v>
      </c>
      <c r="D738" s="231" t="str">
        <f>VLOOKUP(Ruimtestaat[[#This Row],[Code]],Locaties[#All],5,FALSE)</f>
        <v>7576 ZB</v>
      </c>
      <c r="E738" s="187" t="str">
        <f>VLOOKUP(Ruimtestaat[[#This Row],[Code]],Locaties[#All],6,FALSE)</f>
        <v>Oldenzaal</v>
      </c>
      <c r="F738" s="232"/>
      <c r="G738" s="187" t="s">
        <v>679</v>
      </c>
      <c r="H738" s="187" t="s">
        <v>1392</v>
      </c>
      <c r="I738" s="232" t="s">
        <v>424</v>
      </c>
      <c r="J738" s="187">
        <v>2</v>
      </c>
      <c r="K738" s="187" t="str">
        <f>VLOOKUP(Ruimtestaat[[#This Row],[Ruimte code]],Ruimtegroepen[#All],2,FALSE)</f>
        <v>Kantoren/kantoortuin</v>
      </c>
      <c r="L738" s="231" t="s">
        <v>677</v>
      </c>
      <c r="M738" s="187" t="s">
        <v>270</v>
      </c>
      <c r="N738" s="200">
        <v>46.02</v>
      </c>
      <c r="O738" s="200"/>
      <c r="P738" s="231" t="str">
        <f>VLOOKUP(Ruimtestaat[[#This Row],[Ruimte code]],Ruimtegroepen[#All],4,FALSE)</f>
        <v>B  (Bureauruimte)</v>
      </c>
      <c r="Q738" s="201"/>
      <c r="R738" s="202">
        <v>42</v>
      </c>
      <c r="S738" s="202" t="s">
        <v>2</v>
      </c>
      <c r="T738" s="202">
        <f>IF(R738&gt;0,IF(RIGHT(Ruimtestaat[[#This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38" s="202">
        <f>IF(T738&gt;0,VLOOKUP($J738,Ruimtegroepen[],3,FALSE)*VLOOKUP($L738,Vloersoorten[],3,FALSE)*VLOOKUP($S738,Frequenties[],3,FALSE)*VLOOKUP($A738,Locaties[],3,FALSE),0)</f>
        <v>0</v>
      </c>
      <c r="V738" s="202">
        <f>Ruimtestaat[[#This Row],[Uitvoeringen werkdagen]]*Ruimtestaat[[#This Row],[Oppervlak (netto)]]</f>
        <v>9664.2000000000007</v>
      </c>
      <c r="W738" s="242">
        <f>IF(U738&gt;0,Ruimtestaat[[#This Row],[Prest. (m2 /jaar) werkdagen]]/Ruimtestaat[[#This Row],[Norm (m2/uur) werkdagen]],0)</f>
        <v>0</v>
      </c>
      <c r="X738" s="243">
        <f>Ruimtestaat[[#This Row],[uren / jaar werkdagen]]*Tariefsopbouw!$D$38</f>
        <v>0</v>
      </c>
      <c r="Y738" s="33"/>
      <c r="Z738" s="33">
        <f>IF(Ruimtestaat[[#This Row],[Frequentie weekend]]&gt;0,VALUE(LEFT(Y738,1))*R738,0)</f>
        <v>0</v>
      </c>
      <c r="AA738" s="33">
        <f>IF($Z738&gt;0,VLOOKUP($J738,Ruimtegroepen[],3,FALSE)*VLOOKUP($L738,Vloersoorten[],3,FALSE)*VLOOKUP($Y738,Frequenties[],3,FALSE)*VLOOKUP(#REF!,Locaties[],3,FALSE),0)</f>
        <v>0</v>
      </c>
      <c r="AB738" s="33"/>
      <c r="AC738" s="33"/>
      <c r="AD738" s="33">
        <f>Ruimtestaat[[#This Row],[uren / jaar weekend]]*Tariefsopbouw!$D$40</f>
        <v>0</v>
      </c>
      <c r="AE738" s="86">
        <f>Ruimtestaat[[#This Row],[Prest. (m2 /jaar) weekend]]+Ruimtestaat[[#This Row],[Prest. (m2 /jaar) werkdagen]]</f>
        <v>9664.2000000000007</v>
      </c>
      <c r="AF738" s="86">
        <f>Ruimtestaat[[#This Row],[uren / jaar weekend]]+Ruimtestaat[[#This Row],[uren / jaar werkdagen]]</f>
        <v>0</v>
      </c>
      <c r="AG738" s="87">
        <f>Ruimtestaat[[#This Row],[kosten / jaar weekend]]+Ruimtestaat[[#This Row],[kosten / jaar werkdagen]]</f>
        <v>0</v>
      </c>
    </row>
    <row r="739" spans="1:219" ht="15" customHeight="1">
      <c r="A739" s="187">
        <v>6</v>
      </c>
      <c r="B739" s="21" t="s">
        <v>1242</v>
      </c>
      <c r="C739" s="231" t="s">
        <v>406</v>
      </c>
      <c r="D739" s="231" t="s">
        <v>669</v>
      </c>
      <c r="E739" s="187" t="s">
        <v>399</v>
      </c>
      <c r="F739" s="232"/>
      <c r="G739" s="187" t="s">
        <v>679</v>
      </c>
      <c r="H739" s="187" t="s">
        <v>445</v>
      </c>
      <c r="I739" s="232" t="s">
        <v>430</v>
      </c>
      <c r="J739" s="187">
        <v>15</v>
      </c>
      <c r="K739" s="187" t="s">
        <v>1219</v>
      </c>
      <c r="L739" s="202" t="s">
        <v>108</v>
      </c>
      <c r="M739" s="187" t="s">
        <v>1206</v>
      </c>
      <c r="N739" s="200">
        <v>22.96</v>
      </c>
      <c r="O739" s="200"/>
      <c r="P739" s="231" t="s">
        <v>232</v>
      </c>
      <c r="Q739" s="201"/>
      <c r="R739" s="202">
        <v>42</v>
      </c>
      <c r="S739" s="202" t="s">
        <v>2</v>
      </c>
      <c r="T739" s="86">
        <v>4821.6000000000004</v>
      </c>
      <c r="U739" s="86">
        <v>0</v>
      </c>
      <c r="V739" s="87">
        <v>0</v>
      </c>
      <c r="W739" s="85"/>
      <c r="X739" s="85"/>
      <c r="Y739" s="85"/>
      <c r="Z739" s="85"/>
      <c r="AA739" s="85"/>
      <c r="AB739" s="85"/>
      <c r="AC739" s="85"/>
      <c r="AD739" s="85"/>
      <c r="AE739" s="85"/>
      <c r="AF739" s="85"/>
      <c r="HA739" s="4"/>
      <c r="HB739" s="4"/>
      <c r="HC739" s="4"/>
      <c r="HD739" s="4"/>
      <c r="HE739" s="4"/>
      <c r="HF739" s="4"/>
      <c r="HG739" s="4"/>
      <c r="HH739" s="4"/>
      <c r="HI739" s="4"/>
      <c r="HJ739" s="4"/>
      <c r="HK739" s="4"/>
    </row>
    <row r="740" spans="1:219" ht="15" customHeight="1">
      <c r="A740" s="187">
        <v>6</v>
      </c>
      <c r="B740" s="21" t="str">
        <f>VLOOKUP(Ruimtestaat[[#This Row],[Code]],Locaties[#All],2,FALSE)</f>
        <v>De Thij</v>
      </c>
      <c r="C740" s="231" t="str">
        <f>VLOOKUP(Ruimtestaat[[#This Row],[Code]],Locaties[#All],4,FALSE)</f>
        <v>Thijlaan 30</v>
      </c>
      <c r="D740" s="231" t="str">
        <f>VLOOKUP(Ruimtestaat[[#This Row],[Code]],Locaties[#All],5,FALSE)</f>
        <v>7576 ZB</v>
      </c>
      <c r="E740" s="187" t="str">
        <f>VLOOKUP(Ruimtestaat[[#This Row],[Code]],Locaties[#All],6,FALSE)</f>
        <v>Oldenzaal</v>
      </c>
      <c r="F740" s="232"/>
      <c r="G740" s="187" t="s">
        <v>679</v>
      </c>
      <c r="H740" s="187" t="s">
        <v>807</v>
      </c>
      <c r="I740" s="232" t="s">
        <v>1393</v>
      </c>
      <c r="J740" s="187">
        <v>3</v>
      </c>
      <c r="K740" s="187" t="str">
        <f>VLOOKUP(Ruimtestaat[[#This Row],[Ruimte code]],Ruimtegroepen[#All],2,FALSE)</f>
        <v>Reproruimte</v>
      </c>
      <c r="L740" s="231" t="s">
        <v>677</v>
      </c>
      <c r="M740" s="187" t="s">
        <v>270</v>
      </c>
      <c r="N740" s="200">
        <v>51.75</v>
      </c>
      <c r="O740" s="200"/>
      <c r="P740" s="231" t="str">
        <f>VLOOKUP(Ruimtestaat[[#This Row],[Ruimte code]],Ruimtegroepen[#All],4,FALSE)</f>
        <v>V  (Verkeersruimte)</v>
      </c>
      <c r="Q740" s="201"/>
      <c r="R740" s="202">
        <v>42</v>
      </c>
      <c r="S740" s="202" t="s">
        <v>2</v>
      </c>
      <c r="T740" s="202">
        <f>IF(R740&gt;0,IF(RIGHT(Ruimtestaat[[#This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40" s="202">
        <f>IF(T740&gt;0,VLOOKUP($J740,Ruimtegroepen[],3,FALSE)*VLOOKUP($L740,Vloersoorten[],3,FALSE)*VLOOKUP($S740,Frequenties[],3,FALSE)*VLOOKUP($A740,Locaties[],3,FALSE),0)</f>
        <v>0</v>
      </c>
      <c r="V740" s="202">
        <f>Ruimtestaat[[#This Row],[Uitvoeringen werkdagen]]*Ruimtestaat[[#This Row],[Oppervlak (netto)]]</f>
        <v>10867.5</v>
      </c>
      <c r="W740" s="242">
        <f>IF(U740&gt;0,Ruimtestaat[[#This Row],[Prest. (m2 /jaar) werkdagen]]/Ruimtestaat[[#This Row],[Norm (m2/uur) werkdagen]],0)</f>
        <v>0</v>
      </c>
      <c r="X740" s="243">
        <f>Ruimtestaat[[#This Row],[uren / jaar werkdagen]]*Tariefsopbouw!$D$38</f>
        <v>0</v>
      </c>
      <c r="Y740" s="33"/>
      <c r="Z740" s="33">
        <f>IF(Ruimtestaat[[#This Row],[Frequentie weekend]]&gt;0,VALUE(LEFT(Y740,1))*R740,0)</f>
        <v>0</v>
      </c>
      <c r="AA740" s="33">
        <f>IF($Z740&gt;0,VLOOKUP($J740,Ruimtegroepen[],3,FALSE)*VLOOKUP($L740,Vloersoorten[],3,FALSE)*VLOOKUP($Y740,Frequenties[],3,FALSE)*VLOOKUP(#REF!,Locaties[],3,FALSE),0)</f>
        <v>0</v>
      </c>
      <c r="AB740" s="33"/>
      <c r="AC740" s="33"/>
      <c r="AD740" s="33">
        <f>Ruimtestaat[[#This Row],[uren / jaar weekend]]*Tariefsopbouw!$D$40</f>
        <v>0</v>
      </c>
      <c r="AE740" s="86">
        <f>Ruimtestaat[[#This Row],[Prest. (m2 /jaar) weekend]]+Ruimtestaat[[#This Row],[Prest. (m2 /jaar) werkdagen]]</f>
        <v>10867.5</v>
      </c>
      <c r="AF740" s="86">
        <f>Ruimtestaat[[#This Row],[uren / jaar weekend]]+Ruimtestaat[[#This Row],[uren / jaar werkdagen]]</f>
        <v>0</v>
      </c>
      <c r="AG740" s="87">
        <f>Ruimtestaat[[#This Row],[kosten / jaar weekend]]+Ruimtestaat[[#This Row],[kosten / jaar werkdagen]]</f>
        <v>0</v>
      </c>
    </row>
    <row r="741" spans="1:219" ht="15" customHeight="1">
      <c r="A741" s="187">
        <v>6</v>
      </c>
      <c r="B741" s="21" t="str">
        <f>VLOOKUP(Ruimtestaat[[#This Row],[Code]],Locaties[#All],2,FALSE)</f>
        <v>De Thij</v>
      </c>
      <c r="C741" s="231" t="str">
        <f>VLOOKUP(Ruimtestaat[[#This Row],[Code]],Locaties[#All],4,FALSE)</f>
        <v>Thijlaan 30</v>
      </c>
      <c r="D741" s="231" t="str">
        <f>VLOOKUP(Ruimtestaat[[#This Row],[Code]],Locaties[#All],5,FALSE)</f>
        <v>7576 ZB</v>
      </c>
      <c r="E741" s="187" t="str">
        <f>VLOOKUP(Ruimtestaat[[#This Row],[Code]],Locaties[#All],6,FALSE)</f>
        <v>Oldenzaal</v>
      </c>
      <c r="F741" s="232"/>
      <c r="G741" s="187" t="s">
        <v>679</v>
      </c>
      <c r="H741" s="187" t="s">
        <v>446</v>
      </c>
      <c r="I741" s="232" t="s">
        <v>808</v>
      </c>
      <c r="J741" s="187">
        <v>1</v>
      </c>
      <c r="K741" s="187" t="str">
        <f>VLOOKUP(Ruimtestaat[[#This Row],[Ruimte code]],Ruimtegroepen[#All],2,FALSE)</f>
        <v>Magazijnen/bergingen</v>
      </c>
      <c r="L741" s="231" t="s">
        <v>677</v>
      </c>
      <c r="M741" s="187" t="s">
        <v>270</v>
      </c>
      <c r="N741" s="200">
        <v>51.63</v>
      </c>
      <c r="O741" s="200"/>
      <c r="P741" s="231" t="str">
        <f>VLOOKUP(Ruimtestaat[[#This Row],[Ruimte code]],Ruimtegroepen[#All],4,FALSE)</f>
        <v>V  (Verkeersruimte)</v>
      </c>
      <c r="Q741" s="201"/>
      <c r="R741" s="202">
        <v>42</v>
      </c>
      <c r="S741" s="202" t="s">
        <v>15</v>
      </c>
      <c r="T741" s="202">
        <f>IF(R741&gt;0,IF(RIGHT(Ruimtestaat[[#This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741" s="202">
        <f>IF(T741&gt;0,VLOOKUP($J741,Ruimtegroepen[],3,FALSE)*VLOOKUP($L741,Vloersoorten[],3,FALSE)*VLOOKUP($S741,Frequenties[],3,FALSE)*VLOOKUP($A741,Locaties[],3,FALSE),0)</f>
        <v>0</v>
      </c>
      <c r="V741" s="202">
        <f>Ruimtestaat[[#This Row],[Uitvoeringen werkdagen]]*Ruimtestaat[[#This Row],[Oppervlak (netto)]]</f>
        <v>2168.46</v>
      </c>
      <c r="W741" s="242">
        <f>IF(U741&gt;0,Ruimtestaat[[#This Row],[Prest. (m2 /jaar) werkdagen]]/Ruimtestaat[[#This Row],[Norm (m2/uur) werkdagen]],0)</f>
        <v>0</v>
      </c>
      <c r="X741" s="243">
        <f>Ruimtestaat[[#This Row],[uren / jaar werkdagen]]*Tariefsopbouw!$D$38</f>
        <v>0</v>
      </c>
      <c r="Y741" s="33"/>
      <c r="Z741" s="33">
        <f>IF(Ruimtestaat[[#This Row],[Frequentie weekend]]&gt;0,VALUE(LEFT(Y741,1))*R741,0)</f>
        <v>0</v>
      </c>
      <c r="AA741" s="33">
        <f>IF($Z741&gt;0,VLOOKUP($J741,Ruimtegroepen[],3,FALSE)*VLOOKUP($L741,Vloersoorten[],3,FALSE)*VLOOKUP($Y741,Frequenties[],3,FALSE)*VLOOKUP(#REF!,Locaties[],3,FALSE),0)</f>
        <v>0</v>
      </c>
      <c r="AB741" s="33"/>
      <c r="AC741" s="33"/>
      <c r="AD741" s="33">
        <f>Ruimtestaat[[#This Row],[uren / jaar weekend]]*Tariefsopbouw!$D$40</f>
        <v>0</v>
      </c>
      <c r="AE741" s="86">
        <f>Ruimtestaat[[#This Row],[Prest. (m2 /jaar) weekend]]+Ruimtestaat[[#This Row],[Prest. (m2 /jaar) werkdagen]]</f>
        <v>2168.46</v>
      </c>
      <c r="AF741" s="86">
        <f>Ruimtestaat[[#This Row],[uren / jaar weekend]]+Ruimtestaat[[#This Row],[uren / jaar werkdagen]]</f>
        <v>0</v>
      </c>
      <c r="AG741" s="87">
        <f>Ruimtestaat[[#This Row],[kosten / jaar weekend]]+Ruimtestaat[[#This Row],[kosten / jaar werkdagen]]</f>
        <v>0</v>
      </c>
    </row>
    <row r="742" spans="1:219" ht="15" customHeight="1">
      <c r="A742" s="187">
        <v>6</v>
      </c>
      <c r="B742" s="21" t="str">
        <f>VLOOKUP(Ruimtestaat[[#This Row],[Code]],Locaties[#All],2,FALSE)</f>
        <v>De Thij</v>
      </c>
      <c r="C742" s="231" t="str">
        <f>VLOOKUP(Ruimtestaat[[#This Row],[Code]],Locaties[#All],4,FALSE)</f>
        <v>Thijlaan 30</v>
      </c>
      <c r="D742" s="231" t="str">
        <f>VLOOKUP(Ruimtestaat[[#This Row],[Code]],Locaties[#All],5,FALSE)</f>
        <v>7576 ZB</v>
      </c>
      <c r="E742" s="187" t="str">
        <f>VLOOKUP(Ruimtestaat[[#This Row],[Code]],Locaties[#All],6,FALSE)</f>
        <v>Oldenzaal</v>
      </c>
      <c r="F742" s="232"/>
      <c r="G742" s="187" t="s">
        <v>679</v>
      </c>
      <c r="H742" s="187" t="s">
        <v>447</v>
      </c>
      <c r="I742" s="232" t="s">
        <v>809</v>
      </c>
      <c r="J742" s="187">
        <v>20</v>
      </c>
      <c r="K742" s="187" t="str">
        <f>VLOOKUP(Ruimtestaat[[#This Row],[Ruimte code]],Ruimtegroepen[#All],2,FALSE)</f>
        <v>Niet in onderhoud</v>
      </c>
      <c r="L742" s="231" t="s">
        <v>677</v>
      </c>
      <c r="M742" s="187" t="s">
        <v>270</v>
      </c>
      <c r="N742" s="200"/>
      <c r="O742" s="200"/>
      <c r="P742" s="231" t="str">
        <f>VLOOKUP(Ruimtestaat[[#This Row],[Ruimte code]],Ruimtegroepen[#All],4,FALSE)</f>
        <v>V  (Verkeersruimte)</v>
      </c>
      <c r="Q742" s="201"/>
      <c r="R742" s="202"/>
      <c r="S742" s="202"/>
      <c r="T742" s="202">
        <f>IF(R742&gt;0,IF(RIGHT(Ruimtestaat[[#This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742" s="202">
        <f>IF(T742&gt;0,VLOOKUP($J742,Ruimtegroepen[],3,FALSE)*VLOOKUP($L742,Vloersoorten[],3,FALSE)*VLOOKUP($S742,Frequenties[],3,FALSE)*VLOOKUP($A742,Locaties[],3,FALSE),0)</f>
        <v>0</v>
      </c>
      <c r="V742" s="202">
        <f>Ruimtestaat[[#This Row],[Uitvoeringen werkdagen]]*Ruimtestaat[[#This Row],[Oppervlak (netto)]]</f>
        <v>0</v>
      </c>
      <c r="W742" s="242">
        <f>IF(U742&gt;0,Ruimtestaat[[#This Row],[Prest. (m2 /jaar) werkdagen]]/Ruimtestaat[[#This Row],[Norm (m2/uur) werkdagen]],0)</f>
        <v>0</v>
      </c>
      <c r="X742" s="243">
        <f>Ruimtestaat[[#This Row],[uren / jaar werkdagen]]*Tariefsopbouw!$D$38</f>
        <v>0</v>
      </c>
      <c r="Y742" s="33"/>
      <c r="Z742" s="33">
        <f>IF(Ruimtestaat[[#This Row],[Frequentie weekend]]&gt;0,VALUE(LEFT(Y742,1))*R742,0)</f>
        <v>0</v>
      </c>
      <c r="AA742" s="33">
        <f>IF($Z742&gt;0,VLOOKUP($J742,Ruimtegroepen[],3,FALSE)*VLOOKUP($L742,Vloersoorten[],3,FALSE)*VLOOKUP($Y742,Frequenties[],3,FALSE)*VLOOKUP(#REF!,Locaties[],3,FALSE),0)</f>
        <v>0</v>
      </c>
      <c r="AB742" s="33"/>
      <c r="AC742" s="33"/>
      <c r="AD742" s="33">
        <f>Ruimtestaat[[#This Row],[uren / jaar weekend]]*Tariefsopbouw!$D$40</f>
        <v>0</v>
      </c>
      <c r="AE742" s="86">
        <f>Ruimtestaat[[#This Row],[Prest. (m2 /jaar) weekend]]+Ruimtestaat[[#This Row],[Prest. (m2 /jaar) werkdagen]]</f>
        <v>0</v>
      </c>
      <c r="AF742" s="86">
        <f>Ruimtestaat[[#This Row],[uren / jaar weekend]]+Ruimtestaat[[#This Row],[uren / jaar werkdagen]]</f>
        <v>0</v>
      </c>
      <c r="AG742" s="87">
        <f>Ruimtestaat[[#This Row],[kosten / jaar weekend]]+Ruimtestaat[[#This Row],[kosten / jaar werkdagen]]</f>
        <v>0</v>
      </c>
    </row>
    <row r="743" spans="1:219" ht="15" customHeight="1">
      <c r="A743" s="187">
        <v>6</v>
      </c>
      <c r="B743" s="21" t="str">
        <f>VLOOKUP(Ruimtestaat[[#This Row],[Code]],Locaties[#All],2,FALSE)</f>
        <v>De Thij</v>
      </c>
      <c r="C743" s="231" t="str">
        <f>VLOOKUP(Ruimtestaat[[#This Row],[Code]],Locaties[#All],4,FALSE)</f>
        <v>Thijlaan 30</v>
      </c>
      <c r="D743" s="231" t="str">
        <f>VLOOKUP(Ruimtestaat[[#This Row],[Code]],Locaties[#All],5,FALSE)</f>
        <v>7576 ZB</v>
      </c>
      <c r="E743" s="187" t="str">
        <f>VLOOKUP(Ruimtestaat[[#This Row],[Code]],Locaties[#All],6,FALSE)</f>
        <v>Oldenzaal</v>
      </c>
      <c r="F743" s="232"/>
      <c r="G743" s="187" t="s">
        <v>679</v>
      </c>
      <c r="H743" s="187" t="s">
        <v>449</v>
      </c>
      <c r="I743" s="232" t="s">
        <v>584</v>
      </c>
      <c r="J743" s="187">
        <v>2</v>
      </c>
      <c r="K743" s="187" t="str">
        <f>VLOOKUP(Ruimtestaat[[#This Row],[Ruimte code]],Ruimtegroepen[#All],2,FALSE)</f>
        <v>Kantoren/kantoortuin</v>
      </c>
      <c r="L743" s="231" t="s">
        <v>677</v>
      </c>
      <c r="M743" s="187" t="s">
        <v>270</v>
      </c>
      <c r="N743" s="200">
        <v>33.53</v>
      </c>
      <c r="O743" s="200"/>
      <c r="P743" s="231" t="str">
        <f>VLOOKUP(Ruimtestaat[[#This Row],[Ruimte code]],Ruimtegroepen[#All],4,FALSE)</f>
        <v>B  (Bureauruimte)</v>
      </c>
      <c r="Q743" s="201"/>
      <c r="R743" s="202">
        <v>42</v>
      </c>
      <c r="S743" s="202" t="s">
        <v>2</v>
      </c>
      <c r="T743" s="202">
        <f>IF(R743&gt;0,IF(RIGHT(Ruimtestaat[[#This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43" s="202">
        <f>IF(T743&gt;0,VLOOKUP($J743,Ruimtegroepen[],3,FALSE)*VLOOKUP($L743,Vloersoorten[],3,FALSE)*VLOOKUP($S743,Frequenties[],3,FALSE)*VLOOKUP($A743,Locaties[],3,FALSE),0)</f>
        <v>0</v>
      </c>
      <c r="V743" s="202">
        <f>Ruimtestaat[[#This Row],[Uitvoeringen werkdagen]]*Ruimtestaat[[#This Row],[Oppervlak (netto)]]</f>
        <v>7041.3</v>
      </c>
      <c r="W743" s="242">
        <f>IF(U743&gt;0,Ruimtestaat[[#This Row],[Prest. (m2 /jaar) werkdagen]]/Ruimtestaat[[#This Row],[Norm (m2/uur) werkdagen]],0)</f>
        <v>0</v>
      </c>
      <c r="X743" s="243">
        <f>Ruimtestaat[[#This Row],[uren / jaar werkdagen]]*Tariefsopbouw!$D$38</f>
        <v>0</v>
      </c>
      <c r="Y743" s="33"/>
      <c r="Z743" s="33">
        <f>IF(Ruimtestaat[[#This Row],[Frequentie weekend]]&gt;0,VALUE(LEFT(Y743,1))*R743,0)</f>
        <v>0</v>
      </c>
      <c r="AA743" s="33">
        <f>IF($Z743&gt;0,VLOOKUP($J743,Ruimtegroepen[],3,FALSE)*VLOOKUP($L743,Vloersoorten[],3,FALSE)*VLOOKUP($Y743,Frequenties[],3,FALSE)*VLOOKUP(#REF!,Locaties[],3,FALSE),0)</f>
        <v>0</v>
      </c>
      <c r="AB743" s="33"/>
      <c r="AC743" s="33"/>
      <c r="AD743" s="33">
        <f>Ruimtestaat[[#This Row],[uren / jaar weekend]]*Tariefsopbouw!$D$40</f>
        <v>0</v>
      </c>
      <c r="AE743" s="86">
        <f>Ruimtestaat[[#This Row],[Prest. (m2 /jaar) weekend]]+Ruimtestaat[[#This Row],[Prest. (m2 /jaar) werkdagen]]</f>
        <v>7041.3</v>
      </c>
      <c r="AF743" s="86">
        <f>Ruimtestaat[[#This Row],[uren / jaar weekend]]+Ruimtestaat[[#This Row],[uren / jaar werkdagen]]</f>
        <v>0</v>
      </c>
      <c r="AG743" s="87">
        <f>Ruimtestaat[[#This Row],[kosten / jaar weekend]]+Ruimtestaat[[#This Row],[kosten / jaar werkdagen]]</f>
        <v>0</v>
      </c>
    </row>
    <row r="744" spans="1:219" ht="15" customHeight="1">
      <c r="A744" s="187">
        <v>6</v>
      </c>
      <c r="B744" s="21" t="str">
        <f>VLOOKUP(Ruimtestaat[[#This Row],[Code]],Locaties[#All],2,FALSE)</f>
        <v>De Thij</v>
      </c>
      <c r="C744" s="231" t="str">
        <f>VLOOKUP(Ruimtestaat[[#This Row],[Code]],Locaties[#All],4,FALSE)</f>
        <v>Thijlaan 30</v>
      </c>
      <c r="D744" s="231" t="str">
        <f>VLOOKUP(Ruimtestaat[[#This Row],[Code]],Locaties[#All],5,FALSE)</f>
        <v>7576 ZB</v>
      </c>
      <c r="E744" s="187" t="str">
        <f>VLOOKUP(Ruimtestaat[[#This Row],[Code]],Locaties[#All],6,FALSE)</f>
        <v>Oldenzaal</v>
      </c>
      <c r="F744" s="232"/>
      <c r="G744" s="187" t="s">
        <v>679</v>
      </c>
      <c r="H744" s="187" t="s">
        <v>450</v>
      </c>
      <c r="I744" s="232" t="s">
        <v>810</v>
      </c>
      <c r="J744" s="187">
        <v>2</v>
      </c>
      <c r="K744" s="187" t="str">
        <f>VLOOKUP(Ruimtestaat[[#This Row],[Ruimte code]],Ruimtegroepen[#All],2,FALSE)</f>
        <v>Kantoren/kantoortuin</v>
      </c>
      <c r="L744" s="231" t="s">
        <v>677</v>
      </c>
      <c r="M744" s="187" t="s">
        <v>270</v>
      </c>
      <c r="N744" s="200">
        <v>22.81</v>
      </c>
      <c r="O744" s="200"/>
      <c r="P744" s="231" t="str">
        <f>VLOOKUP(Ruimtestaat[[#This Row],[Ruimte code]],Ruimtegroepen[#All],4,FALSE)</f>
        <v>B  (Bureauruimte)</v>
      </c>
      <c r="Q744" s="201"/>
      <c r="R744" s="202">
        <v>42</v>
      </c>
      <c r="S744" s="202" t="s">
        <v>2</v>
      </c>
      <c r="T744" s="202">
        <f>IF(R744&gt;0,IF(RIGHT(Ruimtestaat[[#This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44" s="202">
        <f>IF(T744&gt;0,VLOOKUP($J744,Ruimtegroepen[],3,FALSE)*VLOOKUP($L744,Vloersoorten[],3,FALSE)*VLOOKUP($S744,Frequenties[],3,FALSE)*VLOOKUP($A744,Locaties[],3,FALSE),0)</f>
        <v>0</v>
      </c>
      <c r="V744" s="202">
        <f>Ruimtestaat[[#This Row],[Uitvoeringen werkdagen]]*Ruimtestaat[[#This Row],[Oppervlak (netto)]]</f>
        <v>4790.0999999999995</v>
      </c>
      <c r="W744" s="242">
        <f>IF(U744&gt;0,Ruimtestaat[[#This Row],[Prest. (m2 /jaar) werkdagen]]/Ruimtestaat[[#This Row],[Norm (m2/uur) werkdagen]],0)</f>
        <v>0</v>
      </c>
      <c r="X744" s="243">
        <f>Ruimtestaat[[#This Row],[uren / jaar werkdagen]]*Tariefsopbouw!$D$38</f>
        <v>0</v>
      </c>
      <c r="Y744" s="33"/>
      <c r="Z744" s="33">
        <f>IF(Ruimtestaat[[#This Row],[Frequentie weekend]]&gt;0,VALUE(LEFT(Y744,1))*R744,0)</f>
        <v>0</v>
      </c>
      <c r="AA744" s="33">
        <f>IF($Z744&gt;0,VLOOKUP($J744,Ruimtegroepen[],3,FALSE)*VLOOKUP($L744,Vloersoorten[],3,FALSE)*VLOOKUP($Y744,Frequenties[],3,FALSE)*VLOOKUP(#REF!,Locaties[],3,FALSE),0)</f>
        <v>0</v>
      </c>
      <c r="AB744" s="33"/>
      <c r="AC744" s="33"/>
      <c r="AD744" s="33">
        <f>Ruimtestaat[[#This Row],[uren / jaar weekend]]*Tariefsopbouw!$D$40</f>
        <v>0</v>
      </c>
      <c r="AE744" s="86">
        <f>Ruimtestaat[[#This Row],[Prest. (m2 /jaar) weekend]]+Ruimtestaat[[#This Row],[Prest. (m2 /jaar) werkdagen]]</f>
        <v>4790.0999999999995</v>
      </c>
      <c r="AF744" s="86">
        <f>Ruimtestaat[[#This Row],[uren / jaar weekend]]+Ruimtestaat[[#This Row],[uren / jaar werkdagen]]</f>
        <v>0</v>
      </c>
      <c r="AG744" s="87">
        <f>Ruimtestaat[[#This Row],[kosten / jaar weekend]]+Ruimtestaat[[#This Row],[kosten / jaar werkdagen]]</f>
        <v>0</v>
      </c>
    </row>
    <row r="745" spans="1:219" ht="15" customHeight="1">
      <c r="A745" s="187">
        <v>6</v>
      </c>
      <c r="B745" s="21" t="str">
        <f>VLOOKUP(Ruimtestaat[[#This Row],[Code]],Locaties[#All],2,FALSE)</f>
        <v>De Thij</v>
      </c>
      <c r="C745" s="231" t="str">
        <f>VLOOKUP(Ruimtestaat[[#This Row],[Code]],Locaties[#All],4,FALSE)</f>
        <v>Thijlaan 30</v>
      </c>
      <c r="D745" s="231" t="str">
        <f>VLOOKUP(Ruimtestaat[[#This Row],[Code]],Locaties[#All],5,FALSE)</f>
        <v>7576 ZB</v>
      </c>
      <c r="E745" s="187" t="str">
        <f>VLOOKUP(Ruimtestaat[[#This Row],[Code]],Locaties[#All],6,FALSE)</f>
        <v>Oldenzaal</v>
      </c>
      <c r="F745" s="232"/>
      <c r="G745" s="187" t="s">
        <v>679</v>
      </c>
      <c r="H745" s="187" t="s">
        <v>451</v>
      </c>
      <c r="I745" s="232" t="s">
        <v>811</v>
      </c>
      <c r="J745" s="187">
        <v>2</v>
      </c>
      <c r="K745" s="187" t="str">
        <f>VLOOKUP(Ruimtestaat[[#This Row],[Ruimte code]],Ruimtegroepen[#All],2,FALSE)</f>
        <v>Kantoren/kantoortuin</v>
      </c>
      <c r="L745" s="231" t="s">
        <v>677</v>
      </c>
      <c r="M745" s="187" t="s">
        <v>270</v>
      </c>
      <c r="N745" s="200">
        <v>23.73</v>
      </c>
      <c r="O745" s="200"/>
      <c r="P745" s="231" t="str">
        <f>VLOOKUP(Ruimtestaat[[#This Row],[Ruimte code]],Ruimtegroepen[#All],4,FALSE)</f>
        <v>B  (Bureauruimte)</v>
      </c>
      <c r="Q745" s="201"/>
      <c r="R745" s="202">
        <v>42</v>
      </c>
      <c r="S745" s="202" t="s">
        <v>2</v>
      </c>
      <c r="T745" s="202">
        <f>IF(R745&gt;0,IF(RIGHT(Ruimtestaat[[#This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45" s="202">
        <f>IF(T745&gt;0,VLOOKUP($J745,Ruimtegroepen[],3,FALSE)*VLOOKUP($L745,Vloersoorten[],3,FALSE)*VLOOKUP($S745,Frequenties[],3,FALSE)*VLOOKUP($A745,Locaties[],3,FALSE),0)</f>
        <v>0</v>
      </c>
      <c r="V745" s="202">
        <f>Ruimtestaat[[#This Row],[Uitvoeringen werkdagen]]*Ruimtestaat[[#This Row],[Oppervlak (netto)]]</f>
        <v>4983.3</v>
      </c>
      <c r="W745" s="242">
        <f>IF(U745&gt;0,Ruimtestaat[[#This Row],[Prest. (m2 /jaar) werkdagen]]/Ruimtestaat[[#This Row],[Norm (m2/uur) werkdagen]],0)</f>
        <v>0</v>
      </c>
      <c r="X745" s="243">
        <f>Ruimtestaat[[#This Row],[uren / jaar werkdagen]]*Tariefsopbouw!$D$38</f>
        <v>0</v>
      </c>
      <c r="Y745" s="33"/>
      <c r="Z745" s="33">
        <f>IF(Ruimtestaat[[#This Row],[Frequentie weekend]]&gt;0,VALUE(LEFT(Y745,1))*R745,0)</f>
        <v>0</v>
      </c>
      <c r="AA745" s="33">
        <f>IF($Z745&gt;0,VLOOKUP($J745,Ruimtegroepen[],3,FALSE)*VLOOKUP($L745,Vloersoorten[],3,FALSE)*VLOOKUP($Y745,Frequenties[],3,FALSE)*VLOOKUP(#REF!,Locaties[],3,FALSE),0)</f>
        <v>0</v>
      </c>
      <c r="AB745" s="33"/>
      <c r="AC745" s="33"/>
      <c r="AD745" s="33">
        <f>Ruimtestaat[[#This Row],[uren / jaar weekend]]*Tariefsopbouw!$D$40</f>
        <v>0</v>
      </c>
      <c r="AE745" s="86">
        <f>Ruimtestaat[[#This Row],[Prest. (m2 /jaar) weekend]]+Ruimtestaat[[#This Row],[Prest. (m2 /jaar) werkdagen]]</f>
        <v>4983.3</v>
      </c>
      <c r="AF745" s="86">
        <f>Ruimtestaat[[#This Row],[uren / jaar weekend]]+Ruimtestaat[[#This Row],[uren / jaar werkdagen]]</f>
        <v>0</v>
      </c>
      <c r="AG745" s="87">
        <f>Ruimtestaat[[#This Row],[kosten / jaar weekend]]+Ruimtestaat[[#This Row],[kosten / jaar werkdagen]]</f>
        <v>0</v>
      </c>
    </row>
    <row r="746" spans="1:219" ht="15" customHeight="1">
      <c r="A746" s="187">
        <v>6</v>
      </c>
      <c r="B746" s="21" t="str">
        <f>VLOOKUP(Ruimtestaat[[#This Row],[Code]],Locaties[#All],2,FALSE)</f>
        <v>De Thij</v>
      </c>
      <c r="C746" s="231" t="str">
        <f>VLOOKUP(Ruimtestaat[[#This Row],[Code]],Locaties[#All],4,FALSE)</f>
        <v>Thijlaan 30</v>
      </c>
      <c r="D746" s="231" t="str">
        <f>VLOOKUP(Ruimtestaat[[#This Row],[Code]],Locaties[#All],5,FALSE)</f>
        <v>7576 ZB</v>
      </c>
      <c r="E746" s="187" t="str">
        <f>VLOOKUP(Ruimtestaat[[#This Row],[Code]],Locaties[#All],6,FALSE)</f>
        <v>Oldenzaal</v>
      </c>
      <c r="F746" s="232"/>
      <c r="G746" s="187" t="s">
        <v>679</v>
      </c>
      <c r="H746" s="187" t="s">
        <v>452</v>
      </c>
      <c r="I746" s="232" t="s">
        <v>811</v>
      </c>
      <c r="J746" s="187">
        <v>2</v>
      </c>
      <c r="K746" s="187" t="str">
        <f>VLOOKUP(Ruimtestaat[[#This Row],[Ruimte code]],Ruimtegroepen[#All],2,FALSE)</f>
        <v>Kantoren/kantoortuin</v>
      </c>
      <c r="L746" s="231" t="s">
        <v>677</v>
      </c>
      <c r="M746" s="187" t="s">
        <v>270</v>
      </c>
      <c r="N746" s="200">
        <v>22.81</v>
      </c>
      <c r="O746" s="200"/>
      <c r="P746" s="231" t="str">
        <f>VLOOKUP(Ruimtestaat[[#This Row],[Ruimte code]],Ruimtegroepen[#All],4,FALSE)</f>
        <v>B  (Bureauruimte)</v>
      </c>
      <c r="Q746" s="201"/>
      <c r="R746" s="202">
        <v>42</v>
      </c>
      <c r="S746" s="202" t="s">
        <v>2</v>
      </c>
      <c r="T746" s="202">
        <f>IF(R746&gt;0,IF(RIGHT(Ruimtestaat[[#This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46" s="202">
        <f>IF(T746&gt;0,VLOOKUP($J746,Ruimtegroepen[],3,FALSE)*VLOOKUP($L746,Vloersoorten[],3,FALSE)*VLOOKUP($S746,Frequenties[],3,FALSE)*VLOOKUP($A746,Locaties[],3,FALSE),0)</f>
        <v>0</v>
      </c>
      <c r="V746" s="202">
        <f>Ruimtestaat[[#This Row],[Uitvoeringen werkdagen]]*Ruimtestaat[[#This Row],[Oppervlak (netto)]]</f>
        <v>4790.0999999999995</v>
      </c>
      <c r="W746" s="242">
        <f>IF(U746&gt;0,Ruimtestaat[[#This Row],[Prest. (m2 /jaar) werkdagen]]/Ruimtestaat[[#This Row],[Norm (m2/uur) werkdagen]],0)</f>
        <v>0</v>
      </c>
      <c r="X746" s="243">
        <f>Ruimtestaat[[#This Row],[uren / jaar werkdagen]]*Tariefsopbouw!$D$38</f>
        <v>0</v>
      </c>
      <c r="Y746" s="33"/>
      <c r="Z746" s="33">
        <f>IF(Ruimtestaat[[#This Row],[Frequentie weekend]]&gt;0,VALUE(LEFT(Y746,1))*R746,0)</f>
        <v>0</v>
      </c>
      <c r="AA746" s="33">
        <f>IF($Z746&gt;0,VLOOKUP($J746,Ruimtegroepen[],3,FALSE)*VLOOKUP($L746,Vloersoorten[],3,FALSE)*VLOOKUP($Y746,Frequenties[],3,FALSE)*VLOOKUP(#REF!,Locaties[],3,FALSE),0)</f>
        <v>0</v>
      </c>
      <c r="AB746" s="33"/>
      <c r="AC746" s="33"/>
      <c r="AD746" s="33">
        <f>Ruimtestaat[[#This Row],[uren / jaar weekend]]*Tariefsopbouw!$D$40</f>
        <v>0</v>
      </c>
      <c r="AE746" s="86">
        <f>Ruimtestaat[[#This Row],[Prest. (m2 /jaar) weekend]]+Ruimtestaat[[#This Row],[Prest. (m2 /jaar) werkdagen]]</f>
        <v>4790.0999999999995</v>
      </c>
      <c r="AF746" s="86">
        <f>Ruimtestaat[[#This Row],[uren / jaar weekend]]+Ruimtestaat[[#This Row],[uren / jaar werkdagen]]</f>
        <v>0</v>
      </c>
      <c r="AG746" s="87">
        <f>Ruimtestaat[[#This Row],[kosten / jaar weekend]]+Ruimtestaat[[#This Row],[kosten / jaar werkdagen]]</f>
        <v>0</v>
      </c>
    </row>
    <row r="747" spans="1:219" ht="15" customHeight="1">
      <c r="A747" s="187">
        <v>6</v>
      </c>
      <c r="B747" s="21" t="str">
        <f>VLOOKUP(Ruimtestaat[[#This Row],[Code]],Locaties[#All],2,FALSE)</f>
        <v>De Thij</v>
      </c>
      <c r="C747" s="231" t="str">
        <f>VLOOKUP(Ruimtestaat[[#This Row],[Code]],Locaties[#All],4,FALSE)</f>
        <v>Thijlaan 30</v>
      </c>
      <c r="D747" s="231" t="str">
        <f>VLOOKUP(Ruimtestaat[[#This Row],[Code]],Locaties[#All],5,FALSE)</f>
        <v>7576 ZB</v>
      </c>
      <c r="E747" s="187" t="str">
        <f>VLOOKUP(Ruimtestaat[[#This Row],[Code]],Locaties[#All],6,FALSE)</f>
        <v>Oldenzaal</v>
      </c>
      <c r="F747" s="232"/>
      <c r="G747" s="187" t="s">
        <v>679</v>
      </c>
      <c r="H747" s="187" t="s">
        <v>453</v>
      </c>
      <c r="I747" s="232" t="s">
        <v>581</v>
      </c>
      <c r="J747" s="231">
        <v>4</v>
      </c>
      <c r="K747" s="231" t="str">
        <f>VLOOKUP(Ruimtestaat[[#This Row],[Ruimte code]],Ruimtegroepen[#All],2,FALSE)</f>
        <v>Vergader/spreekkamers</v>
      </c>
      <c r="L747" s="231" t="s">
        <v>677</v>
      </c>
      <c r="M747" s="187" t="s">
        <v>270</v>
      </c>
      <c r="N747" s="200">
        <v>26.7</v>
      </c>
      <c r="O747" s="200"/>
      <c r="P747" s="231" t="str">
        <f>VLOOKUP(Ruimtestaat[[#This Row],[Ruimte code]],Ruimtegroepen[#All],4,FALSE)</f>
        <v>B  (Bureauruimte)</v>
      </c>
      <c r="Q747" s="201"/>
      <c r="R747" s="202">
        <v>42</v>
      </c>
      <c r="S747" s="202" t="s">
        <v>2</v>
      </c>
      <c r="T747" s="202">
        <f>IF(R747&gt;0,IF(RIGHT(Ruimtestaat[[#This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47" s="202">
        <f>IF(T747&gt;0,VLOOKUP($J747,Ruimtegroepen[],3,FALSE)*VLOOKUP($L747,Vloersoorten[],3,FALSE)*VLOOKUP($S747,Frequenties[],3,FALSE)*VLOOKUP($A747,Locaties[],3,FALSE),0)</f>
        <v>0</v>
      </c>
      <c r="V747" s="202">
        <f>Ruimtestaat[[#This Row],[Uitvoeringen werkdagen]]*Ruimtestaat[[#This Row],[Oppervlak (netto)]]</f>
        <v>5607</v>
      </c>
      <c r="W747" s="242">
        <f>IF(U747&gt;0,Ruimtestaat[[#This Row],[Prest. (m2 /jaar) werkdagen]]/Ruimtestaat[[#This Row],[Norm (m2/uur) werkdagen]],0)</f>
        <v>0</v>
      </c>
      <c r="X747" s="243">
        <f>Ruimtestaat[[#This Row],[uren / jaar werkdagen]]*Tariefsopbouw!$D$38</f>
        <v>0</v>
      </c>
      <c r="Y747" s="33"/>
      <c r="Z747" s="33">
        <f>IF(Ruimtestaat[[#This Row],[Frequentie weekend]]&gt;0,VALUE(LEFT(Y747,1))*R747,0)</f>
        <v>0</v>
      </c>
      <c r="AA747" s="33">
        <f>IF($Z747&gt;0,VLOOKUP($J747,Ruimtegroepen[],3,FALSE)*VLOOKUP($L747,Vloersoorten[],3,FALSE)*VLOOKUP($Y747,Frequenties[],3,FALSE)*VLOOKUP(#REF!,Locaties[],3,FALSE),0)</f>
        <v>0</v>
      </c>
      <c r="AB747" s="33"/>
      <c r="AC747" s="33"/>
      <c r="AD747" s="33">
        <f>Ruimtestaat[[#This Row],[uren / jaar weekend]]*Tariefsopbouw!$D$40</f>
        <v>0</v>
      </c>
      <c r="AE747" s="86">
        <f>Ruimtestaat[[#This Row],[Prest. (m2 /jaar) weekend]]+Ruimtestaat[[#This Row],[Prest. (m2 /jaar) werkdagen]]</f>
        <v>5607</v>
      </c>
      <c r="AF747" s="86">
        <f>Ruimtestaat[[#This Row],[uren / jaar weekend]]+Ruimtestaat[[#This Row],[uren / jaar werkdagen]]</f>
        <v>0</v>
      </c>
      <c r="AG747" s="87">
        <f>Ruimtestaat[[#This Row],[kosten / jaar weekend]]+Ruimtestaat[[#This Row],[kosten / jaar werkdagen]]</f>
        <v>0</v>
      </c>
    </row>
    <row r="748" spans="1:219" ht="15" customHeight="1">
      <c r="A748" s="187">
        <v>6</v>
      </c>
      <c r="B748" s="21" t="str">
        <f>VLOOKUP(Ruimtestaat[[#This Row],[Code]],Locaties[#All],2,FALSE)</f>
        <v>De Thij</v>
      </c>
      <c r="C748" s="231" t="str">
        <f>VLOOKUP(Ruimtestaat[[#This Row],[Code]],Locaties[#All],4,FALSE)</f>
        <v>Thijlaan 30</v>
      </c>
      <c r="D748" s="231" t="str">
        <f>VLOOKUP(Ruimtestaat[[#This Row],[Code]],Locaties[#All],5,FALSE)</f>
        <v>7576 ZB</v>
      </c>
      <c r="E748" s="187" t="str">
        <f>VLOOKUP(Ruimtestaat[[#This Row],[Code]],Locaties[#All],6,FALSE)</f>
        <v>Oldenzaal</v>
      </c>
      <c r="F748" s="232"/>
      <c r="G748" s="187" t="s">
        <v>679</v>
      </c>
      <c r="H748" s="187" t="s">
        <v>592</v>
      </c>
      <c r="I748" s="232" t="s">
        <v>812</v>
      </c>
      <c r="J748" s="187">
        <v>2</v>
      </c>
      <c r="K748" s="187" t="str">
        <f>VLOOKUP(Ruimtestaat[[#This Row],[Ruimte code]],Ruimtegroepen[#All],2,FALSE)</f>
        <v>Kantoren/kantoortuin</v>
      </c>
      <c r="L748" s="231" t="s">
        <v>677</v>
      </c>
      <c r="M748" s="187" t="s">
        <v>270</v>
      </c>
      <c r="N748" s="200">
        <v>35.979999999999997</v>
      </c>
      <c r="O748" s="200"/>
      <c r="P748" s="231" t="str">
        <f>VLOOKUP(Ruimtestaat[[#This Row],[Ruimte code]],Ruimtegroepen[#All],4,FALSE)</f>
        <v>B  (Bureauruimte)</v>
      </c>
      <c r="Q748" s="201"/>
      <c r="R748" s="202">
        <v>42</v>
      </c>
      <c r="S748" s="202" t="s">
        <v>2</v>
      </c>
      <c r="T748" s="202">
        <f>IF(R748&gt;0,IF(RIGHT(Ruimtestaat[[#This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48" s="202">
        <f>IF(T748&gt;0,VLOOKUP($J748,Ruimtegroepen[],3,FALSE)*VLOOKUP($L748,Vloersoorten[],3,FALSE)*VLOOKUP($S748,Frequenties[],3,FALSE)*VLOOKUP($A748,Locaties[],3,FALSE),0)</f>
        <v>0</v>
      </c>
      <c r="V748" s="202">
        <f>Ruimtestaat[[#This Row],[Uitvoeringen werkdagen]]*Ruimtestaat[[#This Row],[Oppervlak (netto)]]</f>
        <v>7555.7999999999993</v>
      </c>
      <c r="W748" s="242">
        <f>IF(U748&gt;0,Ruimtestaat[[#This Row],[Prest. (m2 /jaar) werkdagen]]/Ruimtestaat[[#This Row],[Norm (m2/uur) werkdagen]],0)</f>
        <v>0</v>
      </c>
      <c r="X748" s="243">
        <f>Ruimtestaat[[#This Row],[uren / jaar werkdagen]]*Tariefsopbouw!$D$38</f>
        <v>0</v>
      </c>
      <c r="Y748" s="33"/>
      <c r="Z748" s="33">
        <f>IF(Ruimtestaat[[#This Row],[Frequentie weekend]]&gt;0,VALUE(LEFT(Y748,1))*R748,0)</f>
        <v>0</v>
      </c>
      <c r="AA748" s="33">
        <f>IF($Z748&gt;0,VLOOKUP($J748,Ruimtegroepen[],3,FALSE)*VLOOKUP($L748,Vloersoorten[],3,FALSE)*VLOOKUP($Y748,Frequenties[],3,FALSE)*VLOOKUP(#REF!,Locaties[],3,FALSE),0)</f>
        <v>0</v>
      </c>
      <c r="AB748" s="33"/>
      <c r="AC748" s="33"/>
      <c r="AD748" s="33">
        <f>Ruimtestaat[[#This Row],[uren / jaar weekend]]*Tariefsopbouw!$D$40</f>
        <v>0</v>
      </c>
      <c r="AE748" s="86">
        <f>Ruimtestaat[[#This Row],[Prest. (m2 /jaar) weekend]]+Ruimtestaat[[#This Row],[Prest. (m2 /jaar) werkdagen]]</f>
        <v>7555.7999999999993</v>
      </c>
      <c r="AF748" s="86">
        <f>Ruimtestaat[[#This Row],[uren / jaar weekend]]+Ruimtestaat[[#This Row],[uren / jaar werkdagen]]</f>
        <v>0</v>
      </c>
      <c r="AG748" s="87">
        <f>Ruimtestaat[[#This Row],[kosten / jaar weekend]]+Ruimtestaat[[#This Row],[kosten / jaar werkdagen]]</f>
        <v>0</v>
      </c>
    </row>
    <row r="749" spans="1:219" ht="15" customHeight="1">
      <c r="A749" s="187">
        <v>6</v>
      </c>
      <c r="B749" s="21" t="str">
        <f>VLOOKUP(Ruimtestaat[[#This Row],[Code]],Locaties[#All],2,FALSE)</f>
        <v>De Thij</v>
      </c>
      <c r="C749" s="231" t="str">
        <f>VLOOKUP(Ruimtestaat[[#This Row],[Code]],Locaties[#All],4,FALSE)</f>
        <v>Thijlaan 30</v>
      </c>
      <c r="D749" s="231" t="str">
        <f>VLOOKUP(Ruimtestaat[[#This Row],[Code]],Locaties[#All],5,FALSE)</f>
        <v>7576 ZB</v>
      </c>
      <c r="E749" s="187" t="str">
        <f>VLOOKUP(Ruimtestaat[[#This Row],[Code]],Locaties[#All],6,FALSE)</f>
        <v>Oldenzaal</v>
      </c>
      <c r="F749" s="232"/>
      <c r="G749" s="187" t="s">
        <v>679</v>
      </c>
      <c r="H749" s="187" t="s">
        <v>813</v>
      </c>
      <c r="I749" s="232" t="s">
        <v>581</v>
      </c>
      <c r="J749" s="187">
        <v>4</v>
      </c>
      <c r="K749" s="187" t="str">
        <f>VLOOKUP(Ruimtestaat[[#This Row],[Ruimte code]],Ruimtegroepen[#All],2,FALSE)</f>
        <v>Vergader/spreekkamers</v>
      </c>
      <c r="L749" s="231" t="s">
        <v>677</v>
      </c>
      <c r="M749" s="187" t="s">
        <v>270</v>
      </c>
      <c r="N749" s="200">
        <v>7.16</v>
      </c>
      <c r="O749" s="200"/>
      <c r="P749" s="231" t="str">
        <f>VLOOKUP(Ruimtestaat[[#This Row],[Ruimte code]],Ruimtegroepen[#All],4,FALSE)</f>
        <v>B  (Bureauruimte)</v>
      </c>
      <c r="Q749" s="201"/>
      <c r="R749" s="202">
        <v>42</v>
      </c>
      <c r="S749" s="202" t="s">
        <v>2</v>
      </c>
      <c r="T749" s="202">
        <f>IF(R749&gt;0,IF(RIGHT(Ruimtestaat[[#This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49" s="202">
        <f>IF(T749&gt;0,VLOOKUP($J749,Ruimtegroepen[],3,FALSE)*VLOOKUP($L749,Vloersoorten[],3,FALSE)*VLOOKUP($S749,Frequenties[],3,FALSE)*VLOOKUP($A749,Locaties[],3,FALSE),0)</f>
        <v>0</v>
      </c>
      <c r="V749" s="202">
        <f>Ruimtestaat[[#This Row],[Uitvoeringen werkdagen]]*Ruimtestaat[[#This Row],[Oppervlak (netto)]]</f>
        <v>1503.6000000000001</v>
      </c>
      <c r="W749" s="242">
        <f>IF(U749&gt;0,Ruimtestaat[[#This Row],[Prest. (m2 /jaar) werkdagen]]/Ruimtestaat[[#This Row],[Norm (m2/uur) werkdagen]],0)</f>
        <v>0</v>
      </c>
      <c r="X749" s="243">
        <f>Ruimtestaat[[#This Row],[uren / jaar werkdagen]]*Tariefsopbouw!$D$38</f>
        <v>0</v>
      </c>
      <c r="Y749" s="33"/>
      <c r="Z749" s="33">
        <f>IF(Ruimtestaat[[#This Row],[Frequentie weekend]]&gt;0,VALUE(LEFT(Y749,1))*R749,0)</f>
        <v>0</v>
      </c>
      <c r="AA749" s="33">
        <f>IF($Z749&gt;0,VLOOKUP($J749,Ruimtegroepen[],3,FALSE)*VLOOKUP($L749,Vloersoorten[],3,FALSE)*VLOOKUP($Y749,Frequenties[],3,FALSE)*VLOOKUP(#REF!,Locaties[],3,FALSE),0)</f>
        <v>0</v>
      </c>
      <c r="AB749" s="33"/>
      <c r="AC749" s="33"/>
      <c r="AD749" s="33">
        <f>Ruimtestaat[[#This Row],[uren / jaar weekend]]*Tariefsopbouw!$D$40</f>
        <v>0</v>
      </c>
      <c r="AE749" s="86">
        <f>Ruimtestaat[[#This Row],[Prest. (m2 /jaar) weekend]]+Ruimtestaat[[#This Row],[Prest. (m2 /jaar) werkdagen]]</f>
        <v>1503.6000000000001</v>
      </c>
      <c r="AF749" s="86">
        <f>Ruimtestaat[[#This Row],[uren / jaar weekend]]+Ruimtestaat[[#This Row],[uren / jaar werkdagen]]</f>
        <v>0</v>
      </c>
      <c r="AG749" s="87">
        <f>Ruimtestaat[[#This Row],[kosten / jaar weekend]]+Ruimtestaat[[#This Row],[kosten / jaar werkdagen]]</f>
        <v>0</v>
      </c>
    </row>
    <row r="750" spans="1:219" ht="15" customHeight="1">
      <c r="A750" s="187">
        <v>6</v>
      </c>
      <c r="B750" s="21" t="str">
        <f>VLOOKUP(Ruimtestaat[[#This Row],[Code]],Locaties[#All],2,FALSE)</f>
        <v>De Thij</v>
      </c>
      <c r="C750" s="231" t="str">
        <f>VLOOKUP(Ruimtestaat[[#This Row],[Code]],Locaties[#All],4,FALSE)</f>
        <v>Thijlaan 30</v>
      </c>
      <c r="D750" s="231" t="str">
        <f>VLOOKUP(Ruimtestaat[[#This Row],[Code]],Locaties[#All],5,FALSE)</f>
        <v>7576 ZB</v>
      </c>
      <c r="E750" s="187" t="str">
        <f>VLOOKUP(Ruimtestaat[[#This Row],[Code]],Locaties[#All],6,FALSE)</f>
        <v>Oldenzaal</v>
      </c>
      <c r="F750" s="232"/>
      <c r="G750" s="187" t="s">
        <v>679</v>
      </c>
      <c r="H750" s="187" t="s">
        <v>814</v>
      </c>
      <c r="I750" s="232" t="s">
        <v>732</v>
      </c>
      <c r="J750" s="231">
        <v>2</v>
      </c>
      <c r="K750" s="231" t="str">
        <f>VLOOKUP(Ruimtestaat[[#This Row],[Ruimte code]],Ruimtegroepen[#All],2,FALSE)</f>
        <v>Kantoren/kantoortuin</v>
      </c>
      <c r="L750" s="231" t="s">
        <v>677</v>
      </c>
      <c r="M750" s="187" t="s">
        <v>270</v>
      </c>
      <c r="N750" s="200">
        <v>22.26</v>
      </c>
      <c r="O750" s="200"/>
      <c r="P750" s="231" t="str">
        <f>VLOOKUP(Ruimtestaat[[#This Row],[Ruimte code]],Ruimtegroepen[#All],4,FALSE)</f>
        <v>B  (Bureauruimte)</v>
      </c>
      <c r="Q750" s="201"/>
      <c r="R750" s="202">
        <v>42</v>
      </c>
      <c r="S750" s="202" t="s">
        <v>2</v>
      </c>
      <c r="T750" s="202">
        <f>IF(R750&gt;0,IF(RIGHT(Ruimtestaat[[#This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50" s="202">
        <f>IF(T750&gt;0,VLOOKUP($J750,Ruimtegroepen[],3,FALSE)*VLOOKUP($L750,Vloersoorten[],3,FALSE)*VLOOKUP($S750,Frequenties[],3,FALSE)*VLOOKUP($A750,Locaties[],3,FALSE),0)</f>
        <v>0</v>
      </c>
      <c r="V750" s="202">
        <f>Ruimtestaat[[#This Row],[Uitvoeringen werkdagen]]*Ruimtestaat[[#This Row],[Oppervlak (netto)]]</f>
        <v>4674.6000000000004</v>
      </c>
      <c r="W750" s="242">
        <f>IF(U750&gt;0,Ruimtestaat[[#This Row],[Prest. (m2 /jaar) werkdagen]]/Ruimtestaat[[#This Row],[Norm (m2/uur) werkdagen]],0)</f>
        <v>0</v>
      </c>
      <c r="X750" s="243">
        <f>Ruimtestaat[[#This Row],[uren / jaar werkdagen]]*Tariefsopbouw!$D$38</f>
        <v>0</v>
      </c>
      <c r="Y750" s="33"/>
      <c r="Z750" s="33">
        <f>IF(Ruimtestaat[[#This Row],[Frequentie weekend]]&gt;0,VALUE(LEFT(Y750,1))*R750,0)</f>
        <v>0</v>
      </c>
      <c r="AA750" s="33">
        <f>IF($Z750&gt;0,VLOOKUP($J750,Ruimtegroepen[],3,FALSE)*VLOOKUP($L750,Vloersoorten[],3,FALSE)*VLOOKUP($Y750,Frequenties[],3,FALSE)*VLOOKUP(#REF!,Locaties[],3,FALSE),0)</f>
        <v>0</v>
      </c>
      <c r="AB750" s="33"/>
      <c r="AC750" s="33"/>
      <c r="AD750" s="33">
        <f>Ruimtestaat[[#This Row],[uren / jaar weekend]]*Tariefsopbouw!$D$40</f>
        <v>0</v>
      </c>
      <c r="AE750" s="86">
        <f>Ruimtestaat[[#This Row],[Prest. (m2 /jaar) weekend]]+Ruimtestaat[[#This Row],[Prest. (m2 /jaar) werkdagen]]</f>
        <v>4674.6000000000004</v>
      </c>
      <c r="AF750" s="86">
        <f>Ruimtestaat[[#This Row],[uren / jaar weekend]]+Ruimtestaat[[#This Row],[uren / jaar werkdagen]]</f>
        <v>0</v>
      </c>
      <c r="AG750" s="87">
        <f>Ruimtestaat[[#This Row],[kosten / jaar weekend]]+Ruimtestaat[[#This Row],[kosten / jaar werkdagen]]</f>
        <v>0</v>
      </c>
    </row>
    <row r="751" spans="1:219" ht="15" customHeight="1">
      <c r="A751" s="187">
        <v>6</v>
      </c>
      <c r="B751" s="21" t="str">
        <f>VLOOKUP(Ruimtestaat[[#This Row],[Code]],Locaties[#All],2,FALSE)</f>
        <v>De Thij</v>
      </c>
      <c r="C751" s="231" t="str">
        <f>VLOOKUP(Ruimtestaat[[#This Row],[Code]],Locaties[#All],4,FALSE)</f>
        <v>Thijlaan 30</v>
      </c>
      <c r="D751" s="231" t="str">
        <f>VLOOKUP(Ruimtestaat[[#This Row],[Code]],Locaties[#All],5,FALSE)</f>
        <v>7576 ZB</v>
      </c>
      <c r="E751" s="187" t="str">
        <f>VLOOKUP(Ruimtestaat[[#This Row],[Code]],Locaties[#All],6,FALSE)</f>
        <v>Oldenzaal</v>
      </c>
      <c r="F751" s="232"/>
      <c r="G751" s="187" t="s">
        <v>679</v>
      </c>
      <c r="H751" s="187" t="s">
        <v>815</v>
      </c>
      <c r="I751" s="232" t="s">
        <v>581</v>
      </c>
      <c r="J751" s="187">
        <v>4</v>
      </c>
      <c r="K751" s="187" t="str">
        <f>VLOOKUP(Ruimtestaat[[#This Row],[Ruimte code]],Ruimtegroepen[#All],2,FALSE)</f>
        <v>Vergader/spreekkamers</v>
      </c>
      <c r="L751" s="231" t="s">
        <v>677</v>
      </c>
      <c r="M751" s="187" t="s">
        <v>270</v>
      </c>
      <c r="N751" s="200">
        <v>18.02</v>
      </c>
      <c r="O751" s="200"/>
      <c r="P751" s="231" t="str">
        <f>VLOOKUP(Ruimtestaat[[#This Row],[Ruimte code]],Ruimtegroepen[#All],4,FALSE)</f>
        <v>B  (Bureauruimte)</v>
      </c>
      <c r="Q751" s="201"/>
      <c r="R751" s="202">
        <v>42</v>
      </c>
      <c r="S751" s="202" t="s">
        <v>2</v>
      </c>
      <c r="T751" s="202">
        <f>IF(R751&gt;0,IF(RIGHT(Ruimtestaat[[#This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51" s="202">
        <f>IF(T751&gt;0,VLOOKUP($J751,Ruimtegroepen[],3,FALSE)*VLOOKUP($L751,Vloersoorten[],3,FALSE)*VLOOKUP($S751,Frequenties[],3,FALSE)*VLOOKUP($A751,Locaties[],3,FALSE),0)</f>
        <v>0</v>
      </c>
      <c r="V751" s="202">
        <f>Ruimtestaat[[#This Row],[Uitvoeringen werkdagen]]*Ruimtestaat[[#This Row],[Oppervlak (netto)]]</f>
        <v>3784.2</v>
      </c>
      <c r="W751" s="242">
        <f>IF(U751&gt;0,Ruimtestaat[[#This Row],[Prest. (m2 /jaar) werkdagen]]/Ruimtestaat[[#This Row],[Norm (m2/uur) werkdagen]],0)</f>
        <v>0</v>
      </c>
      <c r="X751" s="243">
        <f>Ruimtestaat[[#This Row],[uren / jaar werkdagen]]*Tariefsopbouw!$D$38</f>
        <v>0</v>
      </c>
      <c r="Y751" s="33"/>
      <c r="Z751" s="33">
        <f>IF(Ruimtestaat[[#This Row],[Frequentie weekend]]&gt;0,VALUE(LEFT(Y751,1))*R751,0)</f>
        <v>0</v>
      </c>
      <c r="AA751" s="33">
        <f>IF($Z751&gt;0,VLOOKUP($J751,Ruimtegroepen[],3,FALSE)*VLOOKUP($L751,Vloersoorten[],3,FALSE)*VLOOKUP($Y751,Frequenties[],3,FALSE)*VLOOKUP(#REF!,Locaties[],3,FALSE),0)</f>
        <v>0</v>
      </c>
      <c r="AB751" s="33"/>
      <c r="AC751" s="33"/>
      <c r="AD751" s="33">
        <f>Ruimtestaat[[#This Row],[uren / jaar weekend]]*Tariefsopbouw!$D$40</f>
        <v>0</v>
      </c>
      <c r="AE751" s="86">
        <f>Ruimtestaat[[#This Row],[Prest. (m2 /jaar) weekend]]+Ruimtestaat[[#This Row],[Prest. (m2 /jaar) werkdagen]]</f>
        <v>3784.2</v>
      </c>
      <c r="AF751" s="86">
        <f>Ruimtestaat[[#This Row],[uren / jaar weekend]]+Ruimtestaat[[#This Row],[uren / jaar werkdagen]]</f>
        <v>0</v>
      </c>
      <c r="AG751" s="87">
        <f>Ruimtestaat[[#This Row],[kosten / jaar weekend]]+Ruimtestaat[[#This Row],[kosten / jaar werkdagen]]</f>
        <v>0</v>
      </c>
    </row>
    <row r="752" spans="1:219" ht="15" customHeight="1">
      <c r="A752" s="187">
        <v>6</v>
      </c>
      <c r="B752" s="21" t="str">
        <f>VLOOKUP(Ruimtestaat[[#This Row],[Code]],Locaties[#All],2,FALSE)</f>
        <v>De Thij</v>
      </c>
      <c r="C752" s="231" t="str">
        <f>VLOOKUP(Ruimtestaat[[#This Row],[Code]],Locaties[#All],4,FALSE)</f>
        <v>Thijlaan 30</v>
      </c>
      <c r="D752" s="231" t="str">
        <f>VLOOKUP(Ruimtestaat[[#This Row],[Code]],Locaties[#All],5,FALSE)</f>
        <v>7576 ZB</v>
      </c>
      <c r="E752" s="187" t="str">
        <f>VLOOKUP(Ruimtestaat[[#This Row],[Code]],Locaties[#All],6,FALSE)</f>
        <v>Oldenzaal</v>
      </c>
      <c r="F752" s="232"/>
      <c r="G752" s="187" t="s">
        <v>679</v>
      </c>
      <c r="H752" s="187" t="s">
        <v>816</v>
      </c>
      <c r="I752" s="232" t="s">
        <v>581</v>
      </c>
      <c r="J752" s="231">
        <v>4</v>
      </c>
      <c r="K752" s="231" t="str">
        <f>VLOOKUP(Ruimtestaat[[#This Row],[Ruimte code]],Ruimtegroepen[#All],2,FALSE)</f>
        <v>Vergader/spreekkamers</v>
      </c>
      <c r="L752" s="231" t="s">
        <v>677</v>
      </c>
      <c r="M752" s="187" t="s">
        <v>270</v>
      </c>
      <c r="N752" s="200">
        <v>12.72</v>
      </c>
      <c r="O752" s="200"/>
      <c r="P752" s="231" t="str">
        <f>VLOOKUP(Ruimtestaat[[#This Row],[Ruimte code]],Ruimtegroepen[#All],4,FALSE)</f>
        <v>B  (Bureauruimte)</v>
      </c>
      <c r="Q752" s="201"/>
      <c r="R752" s="202">
        <v>42</v>
      </c>
      <c r="S752" s="202" t="s">
        <v>2</v>
      </c>
      <c r="T752" s="202">
        <f>IF(R752&gt;0,IF(RIGHT(Ruimtestaat[[#This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52" s="202">
        <f>IF(T752&gt;0,VLOOKUP($J752,Ruimtegroepen[],3,FALSE)*VLOOKUP($L752,Vloersoorten[],3,FALSE)*VLOOKUP($S752,Frequenties[],3,FALSE)*VLOOKUP($A752,Locaties[],3,FALSE),0)</f>
        <v>0</v>
      </c>
      <c r="V752" s="202">
        <f>Ruimtestaat[[#This Row],[Uitvoeringen werkdagen]]*Ruimtestaat[[#This Row],[Oppervlak (netto)]]</f>
        <v>2671.2000000000003</v>
      </c>
      <c r="W752" s="242">
        <f>IF(U752&gt;0,Ruimtestaat[[#This Row],[Prest. (m2 /jaar) werkdagen]]/Ruimtestaat[[#This Row],[Norm (m2/uur) werkdagen]],0)</f>
        <v>0</v>
      </c>
      <c r="X752" s="243">
        <f>Ruimtestaat[[#This Row],[uren / jaar werkdagen]]*Tariefsopbouw!$D$38</f>
        <v>0</v>
      </c>
      <c r="Y752" s="33"/>
      <c r="Z752" s="33">
        <f>IF(Ruimtestaat[[#This Row],[Frequentie weekend]]&gt;0,VALUE(LEFT(Y752,1))*R752,0)</f>
        <v>0</v>
      </c>
      <c r="AA752" s="33">
        <f>IF($Z752&gt;0,VLOOKUP($J752,Ruimtegroepen[],3,FALSE)*VLOOKUP($L752,Vloersoorten[],3,FALSE)*VLOOKUP($Y752,Frequenties[],3,FALSE)*VLOOKUP(#REF!,Locaties[],3,FALSE),0)</f>
        <v>0</v>
      </c>
      <c r="AB752" s="33"/>
      <c r="AC752" s="33"/>
      <c r="AD752" s="33">
        <f>Ruimtestaat[[#This Row],[uren / jaar weekend]]*Tariefsopbouw!$D$40</f>
        <v>0</v>
      </c>
      <c r="AE752" s="86">
        <f>Ruimtestaat[[#This Row],[Prest. (m2 /jaar) weekend]]+Ruimtestaat[[#This Row],[Prest. (m2 /jaar) werkdagen]]</f>
        <v>2671.2000000000003</v>
      </c>
      <c r="AF752" s="86">
        <f>Ruimtestaat[[#This Row],[uren / jaar weekend]]+Ruimtestaat[[#This Row],[uren / jaar werkdagen]]</f>
        <v>0</v>
      </c>
      <c r="AG752" s="87">
        <f>Ruimtestaat[[#This Row],[kosten / jaar weekend]]+Ruimtestaat[[#This Row],[kosten / jaar werkdagen]]</f>
        <v>0</v>
      </c>
    </row>
    <row r="753" spans="1:33" ht="15" customHeight="1">
      <c r="A753" s="187">
        <v>6</v>
      </c>
      <c r="B753" s="21" t="str">
        <f>VLOOKUP(Ruimtestaat[[#This Row],[Code]],Locaties[#All],2,FALSE)</f>
        <v>De Thij</v>
      </c>
      <c r="C753" s="247" t="str">
        <f>VLOOKUP(Ruimtestaat[[#This Row],[Code]],Locaties[#All],4,FALSE)</f>
        <v>Thijlaan 30</v>
      </c>
      <c r="D753" s="247" t="str">
        <f>VLOOKUP(Ruimtestaat[[#This Row],[Code]],Locaties[#All],5,FALSE)</f>
        <v>7576 ZB</v>
      </c>
      <c r="E753" s="187" t="str">
        <f>VLOOKUP(Ruimtestaat[[#This Row],[Code]],Locaties[#All],6,FALSE)</f>
        <v>Oldenzaal</v>
      </c>
      <c r="F753" s="248"/>
      <c r="G753" s="246" t="s">
        <v>679</v>
      </c>
      <c r="H753" s="246" t="s">
        <v>454</v>
      </c>
      <c r="I753" s="248" t="s">
        <v>642</v>
      </c>
      <c r="J753" s="187">
        <v>2</v>
      </c>
      <c r="K753" s="187" t="str">
        <f>VLOOKUP(Ruimtestaat[[#This Row],[Ruimte code]],Ruimtegroepen[#All],2,FALSE)</f>
        <v>Kantoren/kantoortuin</v>
      </c>
      <c r="L753" s="247" t="s">
        <v>677</v>
      </c>
      <c r="M753" s="246" t="s">
        <v>270</v>
      </c>
      <c r="N753" s="200">
        <v>8</v>
      </c>
      <c r="O753" s="200"/>
      <c r="P753" s="231" t="str">
        <f>VLOOKUP(Ruimtestaat[[#This Row],[Ruimte code]],Ruimtegroepen[#All],4,FALSE)</f>
        <v>B  (Bureauruimte)</v>
      </c>
      <c r="Q753" s="201"/>
      <c r="R753" s="202">
        <v>42</v>
      </c>
      <c r="S753" s="202" t="s">
        <v>2</v>
      </c>
      <c r="T753" s="202">
        <f>IF(R753&gt;0,IF(RIGHT(Ruimtestaat[[#This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53" s="202">
        <f>IF(T753&gt;0,VLOOKUP($J753,Ruimtegroepen[],3,FALSE)*VLOOKUP($L753,Vloersoorten[],3,FALSE)*VLOOKUP($S753,Frequenties[],3,FALSE)*VLOOKUP($A753,Locaties[],3,FALSE),0)</f>
        <v>0</v>
      </c>
      <c r="V753" s="202">
        <f>Ruimtestaat[[#This Row],[Uitvoeringen werkdagen]]*Ruimtestaat[[#This Row],[Oppervlak (netto)]]</f>
        <v>1680</v>
      </c>
      <c r="W753" s="242">
        <f>IF(U753&gt;0,Ruimtestaat[[#This Row],[Prest. (m2 /jaar) werkdagen]]/Ruimtestaat[[#This Row],[Norm (m2/uur) werkdagen]],0)</f>
        <v>0</v>
      </c>
      <c r="X753" s="243">
        <f>Ruimtestaat[[#This Row],[uren / jaar werkdagen]]*Tariefsopbouw!$D$38</f>
        <v>0</v>
      </c>
      <c r="Y753" s="33"/>
      <c r="Z753" s="33">
        <f>IF(Ruimtestaat[[#This Row],[Frequentie weekend]]&gt;0,VALUE(LEFT(Y753,1))*R753,0)</f>
        <v>0</v>
      </c>
      <c r="AA753" s="33">
        <f>IF($Z753&gt;0,VLOOKUP($J753,Ruimtegroepen[],3,FALSE)*VLOOKUP($L753,Vloersoorten[],3,FALSE)*VLOOKUP($Y753,Frequenties[],3,FALSE)*VLOOKUP(#REF!,Locaties[],3,FALSE),0)</f>
        <v>0</v>
      </c>
      <c r="AB753" s="33"/>
      <c r="AC753" s="33"/>
      <c r="AD753" s="33">
        <f>Ruimtestaat[[#This Row],[uren / jaar weekend]]*Tariefsopbouw!$D$40</f>
        <v>0</v>
      </c>
      <c r="AE753" s="86">
        <f>Ruimtestaat[[#This Row],[Prest. (m2 /jaar) weekend]]+Ruimtestaat[[#This Row],[Prest. (m2 /jaar) werkdagen]]</f>
        <v>1680</v>
      </c>
      <c r="AF753" s="86">
        <f>Ruimtestaat[[#This Row],[uren / jaar weekend]]+Ruimtestaat[[#This Row],[uren / jaar werkdagen]]</f>
        <v>0</v>
      </c>
      <c r="AG753" s="87">
        <f>Ruimtestaat[[#This Row],[kosten / jaar weekend]]+Ruimtestaat[[#This Row],[kosten / jaar werkdagen]]</f>
        <v>0</v>
      </c>
    </row>
    <row r="754" spans="1:33" ht="15" customHeight="1">
      <c r="A754" s="187">
        <v>6</v>
      </c>
      <c r="B754" s="21" t="str">
        <f>VLOOKUP(Ruimtestaat[[#This Row],[Code]],Locaties[#All],2,FALSE)</f>
        <v>De Thij</v>
      </c>
      <c r="C754" s="247" t="str">
        <f>VLOOKUP(Ruimtestaat[[#This Row],[Code]],Locaties[#All],4,FALSE)</f>
        <v>Thijlaan 30</v>
      </c>
      <c r="D754" s="247" t="str">
        <f>VLOOKUP(Ruimtestaat[[#This Row],[Code]],Locaties[#All],5,FALSE)</f>
        <v>7576 ZB</v>
      </c>
      <c r="E754" s="187" t="str">
        <f>VLOOKUP(Ruimtestaat[[#This Row],[Code]],Locaties[#All],6,FALSE)</f>
        <v>Oldenzaal</v>
      </c>
      <c r="F754" s="248"/>
      <c r="G754" s="246" t="s">
        <v>679</v>
      </c>
      <c r="H754" s="246" t="s">
        <v>456</v>
      </c>
      <c r="I754" s="248" t="s">
        <v>643</v>
      </c>
      <c r="J754" s="247">
        <v>9</v>
      </c>
      <c r="K754" s="247" t="str">
        <f>VLOOKUP(Ruimtestaat[[#This Row],[Ruimte code]],Ruimtegroepen[#All],2,FALSE)</f>
        <v>Bibliotheek / OLC</v>
      </c>
      <c r="L754" s="247" t="s">
        <v>677</v>
      </c>
      <c r="M754" s="246" t="s">
        <v>270</v>
      </c>
      <c r="N754" s="200">
        <v>149.5</v>
      </c>
      <c r="O754" s="200"/>
      <c r="P754" s="231" t="str">
        <f>VLOOKUP(Ruimtestaat[[#This Row],[Ruimte code]],Ruimtegroepen[#All],4,FALSE)</f>
        <v>L  (Lesruimte)</v>
      </c>
      <c r="Q754" s="201"/>
      <c r="R754" s="202">
        <v>42</v>
      </c>
      <c r="S754" s="202" t="s">
        <v>2</v>
      </c>
      <c r="T754" s="202">
        <f>IF(R754&gt;0,IF(RIGHT(Ruimtestaat[[#This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54" s="202">
        <f>IF(T754&gt;0,VLOOKUP($J754,Ruimtegroepen[],3,FALSE)*VLOOKUP($L754,Vloersoorten[],3,FALSE)*VLOOKUP($S754,Frequenties[],3,FALSE)*VLOOKUP($A754,Locaties[],3,FALSE),0)</f>
        <v>0</v>
      </c>
      <c r="V754" s="202">
        <f>Ruimtestaat[[#This Row],[Uitvoeringen werkdagen]]*Ruimtestaat[[#This Row],[Oppervlak (netto)]]</f>
        <v>31395</v>
      </c>
      <c r="W754" s="242">
        <f>IF(U754&gt;0,Ruimtestaat[[#This Row],[Prest. (m2 /jaar) werkdagen]]/Ruimtestaat[[#This Row],[Norm (m2/uur) werkdagen]],0)</f>
        <v>0</v>
      </c>
      <c r="X754" s="243">
        <f>Ruimtestaat[[#This Row],[uren / jaar werkdagen]]*Tariefsopbouw!$D$38</f>
        <v>0</v>
      </c>
      <c r="Y754" s="33"/>
      <c r="Z754" s="33">
        <f>IF(Ruimtestaat[[#This Row],[Frequentie weekend]]&gt;0,VALUE(LEFT(Y754,1))*R754,0)</f>
        <v>0</v>
      </c>
      <c r="AA754" s="33">
        <f>IF($Z754&gt;0,VLOOKUP($J754,Ruimtegroepen[],3,FALSE)*VLOOKUP($L754,Vloersoorten[],3,FALSE)*VLOOKUP($Y754,Frequenties[],3,FALSE)*VLOOKUP(#REF!,Locaties[],3,FALSE),0)</f>
        <v>0</v>
      </c>
      <c r="AB754" s="33"/>
      <c r="AC754" s="33"/>
      <c r="AD754" s="33">
        <f>Ruimtestaat[[#This Row],[uren / jaar weekend]]*Tariefsopbouw!$D$40</f>
        <v>0</v>
      </c>
      <c r="AE754" s="86">
        <f>Ruimtestaat[[#This Row],[Prest. (m2 /jaar) weekend]]+Ruimtestaat[[#This Row],[Prest. (m2 /jaar) werkdagen]]</f>
        <v>31395</v>
      </c>
      <c r="AF754" s="86">
        <f>Ruimtestaat[[#This Row],[uren / jaar weekend]]+Ruimtestaat[[#This Row],[uren / jaar werkdagen]]</f>
        <v>0</v>
      </c>
      <c r="AG754" s="87">
        <f>Ruimtestaat[[#This Row],[kosten / jaar weekend]]+Ruimtestaat[[#This Row],[kosten / jaar werkdagen]]</f>
        <v>0</v>
      </c>
    </row>
    <row r="755" spans="1:33" ht="15" customHeight="1">
      <c r="A755" s="187">
        <v>6</v>
      </c>
      <c r="B755" s="21" t="str">
        <f>VLOOKUP(Ruimtestaat[[#This Row],[Code]],Locaties[#All],2,FALSE)</f>
        <v>De Thij</v>
      </c>
      <c r="C755" s="247" t="str">
        <f>VLOOKUP(Ruimtestaat[[#This Row],[Code]],Locaties[#All],4,FALSE)</f>
        <v>Thijlaan 30</v>
      </c>
      <c r="D755" s="247" t="str">
        <f>VLOOKUP(Ruimtestaat[[#This Row],[Code]],Locaties[#All],5,FALSE)</f>
        <v>7576 ZB</v>
      </c>
      <c r="E755" s="187" t="str">
        <f>VLOOKUP(Ruimtestaat[[#This Row],[Code]],Locaties[#All],6,FALSE)</f>
        <v>Oldenzaal</v>
      </c>
      <c r="F755" s="248"/>
      <c r="G755" s="246" t="s">
        <v>679</v>
      </c>
      <c r="H755" s="246" t="s">
        <v>817</v>
      </c>
      <c r="I755" s="248" t="s">
        <v>818</v>
      </c>
      <c r="J755" s="187">
        <v>2</v>
      </c>
      <c r="K755" s="187" t="str">
        <f>VLOOKUP(Ruimtestaat[[#This Row],[Ruimte code]],Ruimtegroepen[#All],2,FALSE)</f>
        <v>Kantoren/kantoortuin</v>
      </c>
      <c r="L755" s="247" t="s">
        <v>677</v>
      </c>
      <c r="M755" s="246" t="s">
        <v>270</v>
      </c>
      <c r="N755" s="200">
        <v>12.32</v>
      </c>
      <c r="O755" s="200"/>
      <c r="P755" s="231" t="str">
        <f>VLOOKUP(Ruimtestaat[[#This Row],[Ruimte code]],Ruimtegroepen[#All],4,FALSE)</f>
        <v>B  (Bureauruimte)</v>
      </c>
      <c r="Q755" s="201"/>
      <c r="R755" s="202">
        <v>42</v>
      </c>
      <c r="S755" s="202" t="s">
        <v>2</v>
      </c>
      <c r="T755" s="202">
        <f>IF(R755&gt;0,IF(RIGHT(Ruimtestaat[[#This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55" s="202">
        <f>IF(T755&gt;0,VLOOKUP($J755,Ruimtegroepen[],3,FALSE)*VLOOKUP($L755,Vloersoorten[],3,FALSE)*VLOOKUP($S755,Frequenties[],3,FALSE)*VLOOKUP($A755,Locaties[],3,FALSE),0)</f>
        <v>0</v>
      </c>
      <c r="V755" s="202">
        <f>Ruimtestaat[[#This Row],[Uitvoeringen werkdagen]]*Ruimtestaat[[#This Row],[Oppervlak (netto)]]</f>
        <v>2587.2000000000003</v>
      </c>
      <c r="W755" s="242">
        <f>IF(U755&gt;0,Ruimtestaat[[#This Row],[Prest. (m2 /jaar) werkdagen]]/Ruimtestaat[[#This Row],[Norm (m2/uur) werkdagen]],0)</f>
        <v>0</v>
      </c>
      <c r="X755" s="243">
        <f>Ruimtestaat[[#This Row],[uren / jaar werkdagen]]*Tariefsopbouw!$D$38</f>
        <v>0</v>
      </c>
      <c r="Y755" s="33"/>
      <c r="Z755" s="33">
        <f>IF(Ruimtestaat[[#This Row],[Frequentie weekend]]&gt;0,VALUE(LEFT(Y755,1))*R755,0)</f>
        <v>0</v>
      </c>
      <c r="AA755" s="33">
        <f>IF($Z755&gt;0,VLOOKUP($J755,Ruimtegroepen[],3,FALSE)*VLOOKUP($L755,Vloersoorten[],3,FALSE)*VLOOKUP($Y755,Frequenties[],3,FALSE)*VLOOKUP(#REF!,Locaties[],3,FALSE),0)</f>
        <v>0</v>
      </c>
      <c r="AB755" s="33"/>
      <c r="AC755" s="33"/>
      <c r="AD755" s="33">
        <f>Ruimtestaat[[#This Row],[uren / jaar weekend]]*Tariefsopbouw!$D$40</f>
        <v>0</v>
      </c>
      <c r="AE755" s="86">
        <f>Ruimtestaat[[#This Row],[Prest. (m2 /jaar) weekend]]+Ruimtestaat[[#This Row],[Prest. (m2 /jaar) werkdagen]]</f>
        <v>2587.2000000000003</v>
      </c>
      <c r="AF755" s="86">
        <f>Ruimtestaat[[#This Row],[uren / jaar weekend]]+Ruimtestaat[[#This Row],[uren / jaar werkdagen]]</f>
        <v>0</v>
      </c>
      <c r="AG755" s="87">
        <f>Ruimtestaat[[#This Row],[kosten / jaar weekend]]+Ruimtestaat[[#This Row],[kosten / jaar werkdagen]]</f>
        <v>0</v>
      </c>
    </row>
    <row r="756" spans="1:33" ht="15" customHeight="1">
      <c r="A756" s="187">
        <v>6</v>
      </c>
      <c r="B756" s="21" t="str">
        <f>VLOOKUP(Ruimtestaat[[#This Row],[Code]],Locaties[#All],2,FALSE)</f>
        <v>De Thij</v>
      </c>
      <c r="C756" s="247" t="str">
        <f>VLOOKUP(Ruimtestaat[[#This Row],[Code]],Locaties[#All],4,FALSE)</f>
        <v>Thijlaan 30</v>
      </c>
      <c r="D756" s="247" t="str">
        <f>VLOOKUP(Ruimtestaat[[#This Row],[Code]],Locaties[#All],5,FALSE)</f>
        <v>7576 ZB</v>
      </c>
      <c r="E756" s="187" t="str">
        <f>VLOOKUP(Ruimtestaat[[#This Row],[Code]],Locaties[#All],6,FALSE)</f>
        <v>Oldenzaal</v>
      </c>
      <c r="F756" s="248"/>
      <c r="G756" s="246" t="s">
        <v>679</v>
      </c>
      <c r="H756" s="246" t="s">
        <v>457</v>
      </c>
      <c r="I756" s="248" t="s">
        <v>372</v>
      </c>
      <c r="J756" s="247">
        <v>6</v>
      </c>
      <c r="K756" s="247" t="str">
        <f>VLOOKUP(Ruimtestaat[[#This Row],[Ruimte code]],Ruimtegroepen[#All],2,FALSE)</f>
        <v>Gangen/hallen</v>
      </c>
      <c r="L756" s="247" t="s">
        <v>677</v>
      </c>
      <c r="M756" s="246" t="s">
        <v>270</v>
      </c>
      <c r="N756" s="200">
        <v>90.53</v>
      </c>
      <c r="O756" s="200"/>
      <c r="P756" s="231" t="str">
        <f>VLOOKUP(Ruimtestaat[[#This Row],[Ruimte code]],Ruimtegroepen[#All],4,FALSE)</f>
        <v>V  (Verkeersruimte)</v>
      </c>
      <c r="Q756" s="201"/>
      <c r="R756" s="202">
        <v>42</v>
      </c>
      <c r="S756" s="202" t="s">
        <v>2</v>
      </c>
      <c r="T756" s="202">
        <f>IF(R756&gt;0,IF(RIGHT(Ruimtestaat[[#This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56" s="202">
        <f>IF(T756&gt;0,VLOOKUP($J756,Ruimtegroepen[],3,FALSE)*VLOOKUP($L756,Vloersoorten[],3,FALSE)*VLOOKUP($S756,Frequenties[],3,FALSE)*VLOOKUP($A756,Locaties[],3,FALSE),0)</f>
        <v>0</v>
      </c>
      <c r="V756" s="202">
        <f>Ruimtestaat[[#This Row],[Uitvoeringen werkdagen]]*Ruimtestaat[[#This Row],[Oppervlak (netto)]]</f>
        <v>19011.3</v>
      </c>
      <c r="W756" s="242">
        <f>IF(U756&gt;0,Ruimtestaat[[#This Row],[Prest. (m2 /jaar) werkdagen]]/Ruimtestaat[[#This Row],[Norm (m2/uur) werkdagen]],0)</f>
        <v>0</v>
      </c>
      <c r="X756" s="243">
        <f>Ruimtestaat[[#This Row],[uren / jaar werkdagen]]*Tariefsopbouw!$D$38</f>
        <v>0</v>
      </c>
      <c r="Y756" s="33"/>
      <c r="Z756" s="33">
        <f>IF(Ruimtestaat[[#This Row],[Frequentie weekend]]&gt;0,VALUE(LEFT(Y756,1))*R756,0)</f>
        <v>0</v>
      </c>
      <c r="AA756" s="33">
        <f>IF($Z756&gt;0,VLOOKUP($J756,Ruimtegroepen[],3,FALSE)*VLOOKUP($L756,Vloersoorten[],3,FALSE)*VLOOKUP($Y756,Frequenties[],3,FALSE)*VLOOKUP(#REF!,Locaties[],3,FALSE),0)</f>
        <v>0</v>
      </c>
      <c r="AB756" s="33"/>
      <c r="AC756" s="33"/>
      <c r="AD756" s="33">
        <f>Ruimtestaat[[#This Row],[uren / jaar weekend]]*Tariefsopbouw!$D$40</f>
        <v>0</v>
      </c>
      <c r="AE756" s="86">
        <f>Ruimtestaat[[#This Row],[Prest. (m2 /jaar) weekend]]+Ruimtestaat[[#This Row],[Prest. (m2 /jaar) werkdagen]]</f>
        <v>19011.3</v>
      </c>
      <c r="AF756" s="86">
        <f>Ruimtestaat[[#This Row],[uren / jaar weekend]]+Ruimtestaat[[#This Row],[uren / jaar werkdagen]]</f>
        <v>0</v>
      </c>
      <c r="AG756" s="87">
        <f>Ruimtestaat[[#This Row],[kosten / jaar weekend]]+Ruimtestaat[[#This Row],[kosten / jaar werkdagen]]</f>
        <v>0</v>
      </c>
    </row>
    <row r="757" spans="1:33" ht="15" customHeight="1">
      <c r="A757" s="187">
        <v>6</v>
      </c>
      <c r="B757" s="21" t="str">
        <f>VLOOKUP(Ruimtestaat[[#This Row],[Code]],Locaties[#All],2,FALSE)</f>
        <v>De Thij</v>
      </c>
      <c r="C757" s="247" t="str">
        <f>VLOOKUP(Ruimtestaat[[#This Row],[Code]],Locaties[#All],4,FALSE)</f>
        <v>Thijlaan 30</v>
      </c>
      <c r="D757" s="247" t="str">
        <f>VLOOKUP(Ruimtestaat[[#This Row],[Code]],Locaties[#All],5,FALSE)</f>
        <v>7576 ZB</v>
      </c>
      <c r="E757" s="187" t="str">
        <f>VLOOKUP(Ruimtestaat[[#This Row],[Code]],Locaties[#All],6,FALSE)</f>
        <v>Oldenzaal</v>
      </c>
      <c r="F757" s="248"/>
      <c r="G757" s="246" t="s">
        <v>679</v>
      </c>
      <c r="H757" s="246" t="s">
        <v>458</v>
      </c>
      <c r="I757" s="248" t="s">
        <v>819</v>
      </c>
      <c r="J757" s="247">
        <v>9</v>
      </c>
      <c r="K757" s="247" t="str">
        <f>VLOOKUP(Ruimtestaat[[#This Row],[Ruimte code]],Ruimtegroepen[#All],2,FALSE)</f>
        <v>Bibliotheek / OLC</v>
      </c>
      <c r="L757" s="247" t="s">
        <v>677</v>
      </c>
      <c r="M757" s="246" t="s">
        <v>270</v>
      </c>
      <c r="N757" s="200">
        <v>110</v>
      </c>
      <c r="O757" s="200"/>
      <c r="P757" s="231" t="str">
        <f>VLOOKUP(Ruimtestaat[[#This Row],[Ruimte code]],Ruimtegroepen[#All],4,FALSE)</f>
        <v>L  (Lesruimte)</v>
      </c>
      <c r="Q757" s="201"/>
      <c r="R757" s="202">
        <v>42</v>
      </c>
      <c r="S757" s="202" t="s">
        <v>2</v>
      </c>
      <c r="T757" s="202">
        <f>IF(R757&gt;0,IF(RIGHT(Ruimtestaat[[#This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57" s="202">
        <f>IF(T757&gt;0,VLOOKUP($J757,Ruimtegroepen[],3,FALSE)*VLOOKUP($L757,Vloersoorten[],3,FALSE)*VLOOKUP($S757,Frequenties[],3,FALSE)*VLOOKUP($A757,Locaties[],3,FALSE),0)</f>
        <v>0</v>
      </c>
      <c r="V757" s="202">
        <f>Ruimtestaat[[#This Row],[Uitvoeringen werkdagen]]*Ruimtestaat[[#This Row],[Oppervlak (netto)]]</f>
        <v>23100</v>
      </c>
      <c r="W757" s="242">
        <f>IF(U757&gt;0,Ruimtestaat[[#This Row],[Prest. (m2 /jaar) werkdagen]]/Ruimtestaat[[#This Row],[Norm (m2/uur) werkdagen]],0)</f>
        <v>0</v>
      </c>
      <c r="X757" s="243">
        <f>Ruimtestaat[[#This Row],[uren / jaar werkdagen]]*Tariefsopbouw!$D$38</f>
        <v>0</v>
      </c>
      <c r="Y757" s="33"/>
      <c r="Z757" s="33">
        <f>IF(Ruimtestaat[[#This Row],[Frequentie weekend]]&gt;0,VALUE(LEFT(Y757,1))*R757,0)</f>
        <v>0</v>
      </c>
      <c r="AA757" s="33">
        <f>IF($Z757&gt;0,VLOOKUP($J757,Ruimtegroepen[],3,FALSE)*VLOOKUP($L757,Vloersoorten[],3,FALSE)*VLOOKUP($Y757,Frequenties[],3,FALSE)*VLOOKUP(#REF!,Locaties[],3,FALSE),0)</f>
        <v>0</v>
      </c>
      <c r="AB757" s="33"/>
      <c r="AC757" s="33"/>
      <c r="AD757" s="33">
        <f>Ruimtestaat[[#This Row],[uren / jaar weekend]]*Tariefsopbouw!$D$40</f>
        <v>0</v>
      </c>
      <c r="AE757" s="86">
        <f>Ruimtestaat[[#This Row],[Prest. (m2 /jaar) weekend]]+Ruimtestaat[[#This Row],[Prest. (m2 /jaar) werkdagen]]</f>
        <v>23100</v>
      </c>
      <c r="AF757" s="86">
        <f>Ruimtestaat[[#This Row],[uren / jaar weekend]]+Ruimtestaat[[#This Row],[uren / jaar werkdagen]]</f>
        <v>0</v>
      </c>
      <c r="AG757" s="87">
        <f>Ruimtestaat[[#This Row],[kosten / jaar weekend]]+Ruimtestaat[[#This Row],[kosten / jaar werkdagen]]</f>
        <v>0</v>
      </c>
    </row>
    <row r="758" spans="1:33" ht="15" customHeight="1">
      <c r="A758" s="187">
        <v>6</v>
      </c>
      <c r="B758" s="21" t="str">
        <f>VLOOKUP(Ruimtestaat[[#This Row],[Code]],Locaties[#All],2,FALSE)</f>
        <v>De Thij</v>
      </c>
      <c r="C758" s="247" t="str">
        <f>VLOOKUP(Ruimtestaat[[#This Row],[Code]],Locaties[#All],4,FALSE)</f>
        <v>Thijlaan 30</v>
      </c>
      <c r="D758" s="247" t="str">
        <f>VLOOKUP(Ruimtestaat[[#This Row],[Code]],Locaties[#All],5,FALSE)</f>
        <v>7576 ZB</v>
      </c>
      <c r="E758" s="187" t="str">
        <f>VLOOKUP(Ruimtestaat[[#This Row],[Code]],Locaties[#All],6,FALSE)</f>
        <v>Oldenzaal</v>
      </c>
      <c r="F758" s="248"/>
      <c r="G758" s="246" t="s">
        <v>679</v>
      </c>
      <c r="H758" s="246" t="s">
        <v>820</v>
      </c>
      <c r="I758" s="248" t="s">
        <v>372</v>
      </c>
      <c r="J758" s="187">
        <v>6</v>
      </c>
      <c r="K758" s="187" t="str">
        <f>VLOOKUP(Ruimtestaat[[#This Row],[Ruimte code]],Ruimtegroepen[#All],2,FALSE)</f>
        <v>Gangen/hallen</v>
      </c>
      <c r="L758" s="247" t="s">
        <v>677</v>
      </c>
      <c r="M758" s="246" t="s">
        <v>270</v>
      </c>
      <c r="N758" s="200">
        <v>231.7</v>
      </c>
      <c r="O758" s="200"/>
      <c r="P758" s="231" t="str">
        <f>VLOOKUP(Ruimtestaat[[#This Row],[Ruimte code]],Ruimtegroepen[#All],4,FALSE)</f>
        <v>V  (Verkeersruimte)</v>
      </c>
      <c r="Q758" s="201"/>
      <c r="R758" s="202">
        <v>42</v>
      </c>
      <c r="S758" s="202" t="s">
        <v>2</v>
      </c>
      <c r="T758" s="202">
        <f>IF(R758&gt;0,IF(RIGHT(Ruimtestaat[[#This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58" s="202">
        <f>IF(T758&gt;0,VLOOKUP($J758,Ruimtegroepen[],3,FALSE)*VLOOKUP($L758,Vloersoorten[],3,FALSE)*VLOOKUP($S758,Frequenties[],3,FALSE)*VLOOKUP($A758,Locaties[],3,FALSE),0)</f>
        <v>0</v>
      </c>
      <c r="V758" s="202">
        <f>Ruimtestaat[[#This Row],[Uitvoeringen werkdagen]]*Ruimtestaat[[#This Row],[Oppervlak (netto)]]</f>
        <v>48657</v>
      </c>
      <c r="W758" s="242">
        <f>IF(U758&gt;0,Ruimtestaat[[#This Row],[Prest. (m2 /jaar) werkdagen]]/Ruimtestaat[[#This Row],[Norm (m2/uur) werkdagen]],0)</f>
        <v>0</v>
      </c>
      <c r="X758" s="243">
        <f>Ruimtestaat[[#This Row],[uren / jaar werkdagen]]*Tariefsopbouw!$D$38</f>
        <v>0</v>
      </c>
      <c r="Y758" s="33"/>
      <c r="Z758" s="33">
        <f>IF(Ruimtestaat[[#This Row],[Frequentie weekend]]&gt;0,VALUE(LEFT(Y758,1))*R758,0)</f>
        <v>0</v>
      </c>
      <c r="AA758" s="33">
        <f>IF($Z758&gt;0,VLOOKUP($J758,Ruimtegroepen[],3,FALSE)*VLOOKUP($L758,Vloersoorten[],3,FALSE)*VLOOKUP($Y758,Frequenties[],3,FALSE)*VLOOKUP(#REF!,Locaties[],3,FALSE),0)</f>
        <v>0</v>
      </c>
      <c r="AB758" s="33"/>
      <c r="AC758" s="33"/>
      <c r="AD758" s="33">
        <f>Ruimtestaat[[#This Row],[uren / jaar weekend]]*Tariefsopbouw!$D$40</f>
        <v>0</v>
      </c>
      <c r="AE758" s="86">
        <f>Ruimtestaat[[#This Row],[Prest. (m2 /jaar) weekend]]+Ruimtestaat[[#This Row],[Prest. (m2 /jaar) werkdagen]]</f>
        <v>48657</v>
      </c>
      <c r="AF758" s="86">
        <f>Ruimtestaat[[#This Row],[uren / jaar weekend]]+Ruimtestaat[[#This Row],[uren / jaar werkdagen]]</f>
        <v>0</v>
      </c>
      <c r="AG758" s="87">
        <f>Ruimtestaat[[#This Row],[kosten / jaar weekend]]+Ruimtestaat[[#This Row],[kosten / jaar werkdagen]]</f>
        <v>0</v>
      </c>
    </row>
    <row r="759" spans="1:33" ht="15" customHeight="1">
      <c r="A759" s="187">
        <v>6</v>
      </c>
      <c r="B759" s="21" t="str">
        <f>VLOOKUP(Ruimtestaat[[#This Row],[Code]],Locaties[#All],2,FALSE)</f>
        <v>De Thij</v>
      </c>
      <c r="C759" s="247" t="str">
        <f>VLOOKUP(Ruimtestaat[[#This Row],[Code]],Locaties[#All],4,FALSE)</f>
        <v>Thijlaan 30</v>
      </c>
      <c r="D759" s="247" t="str">
        <f>VLOOKUP(Ruimtestaat[[#This Row],[Code]],Locaties[#All],5,FALSE)</f>
        <v>7576 ZB</v>
      </c>
      <c r="E759" s="187" t="str">
        <f>VLOOKUP(Ruimtestaat[[#This Row],[Code]],Locaties[#All],6,FALSE)</f>
        <v>Oldenzaal</v>
      </c>
      <c r="F759" s="248"/>
      <c r="G759" s="246" t="s">
        <v>679</v>
      </c>
      <c r="H759" s="246" t="s">
        <v>459</v>
      </c>
      <c r="I759" s="248" t="s">
        <v>596</v>
      </c>
      <c r="J759" s="187">
        <v>10</v>
      </c>
      <c r="K759" s="187" t="str">
        <f>VLOOKUP(Ruimtestaat[[#This Row],[Ruimte code]],Ruimtegroepen[#All],2,FALSE)</f>
        <v>Trappenhuizen/lift</v>
      </c>
      <c r="L759" s="247" t="s">
        <v>677</v>
      </c>
      <c r="M759" s="246" t="s">
        <v>270</v>
      </c>
      <c r="N759" s="200">
        <v>50</v>
      </c>
      <c r="O759" s="200"/>
      <c r="P759" s="231" t="str">
        <f>VLOOKUP(Ruimtestaat[[#This Row],[Ruimte code]],Ruimtegroepen[#All],4,FALSE)</f>
        <v>V  (Verkeersruimte)</v>
      </c>
      <c r="Q759" s="201"/>
      <c r="R759" s="202">
        <v>42</v>
      </c>
      <c r="S759" s="202" t="s">
        <v>2</v>
      </c>
      <c r="T759" s="202">
        <f>IF(R759&gt;0,IF(RIGHT(Ruimtestaat[[#This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59" s="202">
        <f>IF(T759&gt;0,VLOOKUP($J759,Ruimtegroepen[],3,FALSE)*VLOOKUP($L759,Vloersoorten[],3,FALSE)*VLOOKUP($S759,Frequenties[],3,FALSE)*VLOOKUP($A759,Locaties[],3,FALSE),0)</f>
        <v>0</v>
      </c>
      <c r="V759" s="202">
        <f>Ruimtestaat[[#This Row],[Uitvoeringen werkdagen]]*Ruimtestaat[[#This Row],[Oppervlak (netto)]]</f>
        <v>10500</v>
      </c>
      <c r="W759" s="242">
        <f>IF(U759&gt;0,Ruimtestaat[[#This Row],[Prest. (m2 /jaar) werkdagen]]/Ruimtestaat[[#This Row],[Norm (m2/uur) werkdagen]],0)</f>
        <v>0</v>
      </c>
      <c r="X759" s="243">
        <f>Ruimtestaat[[#This Row],[uren / jaar werkdagen]]*Tariefsopbouw!$D$38</f>
        <v>0</v>
      </c>
      <c r="Y759" s="33"/>
      <c r="Z759" s="33">
        <f>IF(Ruimtestaat[[#This Row],[Frequentie weekend]]&gt;0,VALUE(LEFT(Y759,1))*R759,0)</f>
        <v>0</v>
      </c>
      <c r="AA759" s="33">
        <f>IF($Z759&gt;0,VLOOKUP($J759,Ruimtegroepen[],3,FALSE)*VLOOKUP($L759,Vloersoorten[],3,FALSE)*VLOOKUP($Y759,Frequenties[],3,FALSE)*VLOOKUP(#REF!,Locaties[],3,FALSE),0)</f>
        <v>0</v>
      </c>
      <c r="AB759" s="33"/>
      <c r="AC759" s="33"/>
      <c r="AD759" s="33">
        <f>Ruimtestaat[[#This Row],[uren / jaar weekend]]*Tariefsopbouw!$D$40</f>
        <v>0</v>
      </c>
      <c r="AE759" s="86">
        <f>Ruimtestaat[[#This Row],[Prest. (m2 /jaar) weekend]]+Ruimtestaat[[#This Row],[Prest. (m2 /jaar) werkdagen]]</f>
        <v>10500</v>
      </c>
      <c r="AF759" s="86">
        <f>Ruimtestaat[[#This Row],[uren / jaar weekend]]+Ruimtestaat[[#This Row],[uren / jaar werkdagen]]</f>
        <v>0</v>
      </c>
      <c r="AG759" s="87">
        <f>Ruimtestaat[[#This Row],[kosten / jaar weekend]]+Ruimtestaat[[#This Row],[kosten / jaar werkdagen]]</f>
        <v>0</v>
      </c>
    </row>
    <row r="760" spans="1:33" ht="15" customHeight="1">
      <c r="A760" s="187">
        <v>6</v>
      </c>
      <c r="B760" s="21" t="str">
        <f>VLOOKUP(Ruimtestaat[[#This Row],[Code]],Locaties[#All],2,FALSE)</f>
        <v>De Thij</v>
      </c>
      <c r="C760" s="247" t="str">
        <f>VLOOKUP(Ruimtestaat[[#This Row],[Code]],Locaties[#All],4,FALSE)</f>
        <v>Thijlaan 30</v>
      </c>
      <c r="D760" s="247" t="str">
        <f>VLOOKUP(Ruimtestaat[[#This Row],[Code]],Locaties[#All],5,FALSE)</f>
        <v>7576 ZB</v>
      </c>
      <c r="E760" s="187" t="str">
        <f>VLOOKUP(Ruimtestaat[[#This Row],[Code]],Locaties[#All],6,FALSE)</f>
        <v>Oldenzaal</v>
      </c>
      <c r="F760" s="248"/>
      <c r="G760" s="246" t="s">
        <v>679</v>
      </c>
      <c r="H760" s="246" t="s">
        <v>460</v>
      </c>
      <c r="I760" s="248" t="s">
        <v>480</v>
      </c>
      <c r="J760" s="247">
        <v>5</v>
      </c>
      <c r="K760" s="247" t="str">
        <f>VLOOKUP(Ruimtestaat[[#This Row],[Ruimte code]],Ruimtegroepen[#All],2,FALSE)</f>
        <v>Sanitair</v>
      </c>
      <c r="L760" s="202" t="s">
        <v>108</v>
      </c>
      <c r="M760" s="246" t="s">
        <v>1206</v>
      </c>
      <c r="N760" s="200">
        <v>62</v>
      </c>
      <c r="O760" s="200"/>
      <c r="P760" s="231" t="str">
        <f>VLOOKUP(Ruimtestaat[[#This Row],[Ruimte code]],Ruimtegroepen[#All],4,FALSE)</f>
        <v>S  (Sanitair)</v>
      </c>
      <c r="Q760" s="201"/>
      <c r="R760" s="202">
        <v>42</v>
      </c>
      <c r="S760" s="202" t="s">
        <v>19</v>
      </c>
      <c r="T760" s="202">
        <f>IF(R760&gt;0,IF(RIGHT(Ruimtestaat[[#This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760" s="202">
        <f>IF(T760&gt;0,VLOOKUP($J760,Ruimtegroepen[],3,FALSE)*VLOOKUP($L760,Vloersoorten[],3,FALSE)*VLOOKUP($S760,Frequenties[],3,FALSE)*VLOOKUP($A760,Locaties[],3,FALSE),0)</f>
        <v>0</v>
      </c>
      <c r="V760" s="202">
        <f>Ruimtestaat[[#This Row],[Uitvoeringen werkdagen]]*Ruimtestaat[[#This Row],[Oppervlak (netto)]]</f>
        <v>26040</v>
      </c>
      <c r="W760" s="242">
        <f>IF(U760&gt;0,Ruimtestaat[[#This Row],[Prest. (m2 /jaar) werkdagen]]/Ruimtestaat[[#This Row],[Norm (m2/uur) werkdagen]],0)</f>
        <v>0</v>
      </c>
      <c r="X760" s="243">
        <f>Ruimtestaat[[#This Row],[uren / jaar werkdagen]]*Tariefsopbouw!$D$38</f>
        <v>0</v>
      </c>
      <c r="Y760" s="33"/>
      <c r="Z760" s="33">
        <f>IF(Ruimtestaat[[#This Row],[Frequentie weekend]]&gt;0,VALUE(LEFT(Y760,1))*R760,0)</f>
        <v>0</v>
      </c>
      <c r="AA760" s="33">
        <f>IF($Z760&gt;0,VLOOKUP($J760,Ruimtegroepen[],3,FALSE)*VLOOKUP($L760,Vloersoorten[],3,FALSE)*VLOOKUP($Y760,Frequenties[],3,FALSE)*VLOOKUP(#REF!,Locaties[],3,FALSE),0)</f>
        <v>0</v>
      </c>
      <c r="AB760" s="33"/>
      <c r="AC760" s="33"/>
      <c r="AD760" s="33">
        <f>Ruimtestaat[[#This Row],[uren / jaar weekend]]*Tariefsopbouw!$D$40</f>
        <v>0</v>
      </c>
      <c r="AE760" s="86">
        <f>Ruimtestaat[[#This Row],[Prest. (m2 /jaar) weekend]]+Ruimtestaat[[#This Row],[Prest. (m2 /jaar) werkdagen]]</f>
        <v>26040</v>
      </c>
      <c r="AF760" s="86">
        <f>Ruimtestaat[[#This Row],[uren / jaar weekend]]+Ruimtestaat[[#This Row],[uren / jaar werkdagen]]</f>
        <v>0</v>
      </c>
      <c r="AG760" s="87">
        <f>Ruimtestaat[[#This Row],[kosten / jaar weekend]]+Ruimtestaat[[#This Row],[kosten / jaar werkdagen]]</f>
        <v>0</v>
      </c>
    </row>
    <row r="761" spans="1:33" ht="15" customHeight="1">
      <c r="A761" s="187">
        <v>6</v>
      </c>
      <c r="B761" s="21" t="str">
        <f>VLOOKUP(Ruimtestaat[[#This Row],[Code]],Locaties[#All],2,FALSE)</f>
        <v>De Thij</v>
      </c>
      <c r="C761" s="247" t="str">
        <f>VLOOKUP(Ruimtestaat[[#This Row],[Code]],Locaties[#All],4,FALSE)</f>
        <v>Thijlaan 30</v>
      </c>
      <c r="D761" s="247" t="str">
        <f>VLOOKUP(Ruimtestaat[[#This Row],[Code]],Locaties[#All],5,FALSE)</f>
        <v>7576 ZB</v>
      </c>
      <c r="E761" s="187" t="str">
        <f>VLOOKUP(Ruimtestaat[[#This Row],[Code]],Locaties[#All],6,FALSE)</f>
        <v>Oldenzaal</v>
      </c>
      <c r="F761" s="248"/>
      <c r="G761" s="246" t="s">
        <v>679</v>
      </c>
      <c r="H761" s="246" t="s">
        <v>460</v>
      </c>
      <c r="I761" s="248" t="s">
        <v>480</v>
      </c>
      <c r="J761" s="187">
        <v>5</v>
      </c>
      <c r="K761" s="187" t="str">
        <f>VLOOKUP(Ruimtestaat[[#This Row],[Ruimte code]],Ruimtegroepen[#All],2,FALSE)</f>
        <v>Sanitair</v>
      </c>
      <c r="L761" s="202" t="s">
        <v>108</v>
      </c>
      <c r="M761" s="246" t="s">
        <v>1206</v>
      </c>
      <c r="N761" s="200">
        <v>73</v>
      </c>
      <c r="O761" s="200"/>
      <c r="P761" s="231" t="str">
        <f>VLOOKUP(Ruimtestaat[[#This Row],[Ruimte code]],Ruimtegroepen[#All],4,FALSE)</f>
        <v>S  (Sanitair)</v>
      </c>
      <c r="Q761" s="201"/>
      <c r="R761" s="202">
        <v>42</v>
      </c>
      <c r="S761" s="202" t="s">
        <v>19</v>
      </c>
      <c r="T761" s="202">
        <f>IF(R761&gt;0,IF(RIGHT(Ruimtestaat[[#This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761" s="202">
        <f>IF(T761&gt;0,VLOOKUP($J761,Ruimtegroepen[],3,FALSE)*VLOOKUP($L761,Vloersoorten[],3,FALSE)*VLOOKUP($S761,Frequenties[],3,FALSE)*VLOOKUP($A761,Locaties[],3,FALSE),0)</f>
        <v>0</v>
      </c>
      <c r="V761" s="202">
        <f>Ruimtestaat[[#This Row],[Uitvoeringen werkdagen]]*Ruimtestaat[[#This Row],[Oppervlak (netto)]]</f>
        <v>30660</v>
      </c>
      <c r="W761" s="242">
        <f>IF(U761&gt;0,Ruimtestaat[[#This Row],[Prest. (m2 /jaar) werkdagen]]/Ruimtestaat[[#This Row],[Norm (m2/uur) werkdagen]],0)</f>
        <v>0</v>
      </c>
      <c r="X761" s="243">
        <f>Ruimtestaat[[#This Row],[uren / jaar werkdagen]]*Tariefsopbouw!$D$38</f>
        <v>0</v>
      </c>
      <c r="Y761" s="33"/>
      <c r="Z761" s="33">
        <f>IF(Ruimtestaat[[#This Row],[Frequentie weekend]]&gt;0,VALUE(LEFT(Y761,1))*R761,0)</f>
        <v>0</v>
      </c>
      <c r="AA761" s="33">
        <f>IF($Z761&gt;0,VLOOKUP($J761,Ruimtegroepen[],3,FALSE)*VLOOKUP($L761,Vloersoorten[],3,FALSE)*VLOOKUP($Y761,Frequenties[],3,FALSE)*VLOOKUP(#REF!,Locaties[],3,FALSE),0)</f>
        <v>0</v>
      </c>
      <c r="AB761" s="33"/>
      <c r="AC761" s="33"/>
      <c r="AD761" s="33">
        <f>Ruimtestaat[[#This Row],[uren / jaar weekend]]*Tariefsopbouw!$D$40</f>
        <v>0</v>
      </c>
      <c r="AE761" s="86">
        <f>Ruimtestaat[[#This Row],[Prest. (m2 /jaar) weekend]]+Ruimtestaat[[#This Row],[Prest. (m2 /jaar) werkdagen]]</f>
        <v>30660</v>
      </c>
      <c r="AF761" s="86">
        <f>Ruimtestaat[[#This Row],[uren / jaar weekend]]+Ruimtestaat[[#This Row],[uren / jaar werkdagen]]</f>
        <v>0</v>
      </c>
      <c r="AG761" s="87">
        <f>Ruimtestaat[[#This Row],[kosten / jaar weekend]]+Ruimtestaat[[#This Row],[kosten / jaar werkdagen]]</f>
        <v>0</v>
      </c>
    </row>
    <row r="762" spans="1:33" ht="15" customHeight="1">
      <c r="A762" s="187">
        <v>6</v>
      </c>
      <c r="B762" s="21" t="str">
        <f>VLOOKUP(Ruimtestaat[[#This Row],[Code]],Locaties[#All],2,FALSE)</f>
        <v>De Thij</v>
      </c>
      <c r="C762" s="247" t="str">
        <f>VLOOKUP(Ruimtestaat[[#This Row],[Code]],Locaties[#All],4,FALSE)</f>
        <v>Thijlaan 30</v>
      </c>
      <c r="D762" s="247" t="str">
        <f>VLOOKUP(Ruimtestaat[[#This Row],[Code]],Locaties[#All],5,FALSE)</f>
        <v>7576 ZB</v>
      </c>
      <c r="E762" s="187" t="str">
        <f>VLOOKUP(Ruimtestaat[[#This Row],[Code]],Locaties[#All],6,FALSE)</f>
        <v>Oldenzaal</v>
      </c>
      <c r="F762" s="248"/>
      <c r="G762" s="246" t="s">
        <v>679</v>
      </c>
      <c r="H762" s="246" t="s">
        <v>461</v>
      </c>
      <c r="I762" s="248" t="s">
        <v>821</v>
      </c>
      <c r="J762" s="187">
        <v>20</v>
      </c>
      <c r="K762" s="187" t="str">
        <f>VLOOKUP(Ruimtestaat[[#This Row],[Ruimte code]],Ruimtegroepen[#All],2,FALSE)</f>
        <v>Niet in onderhoud</v>
      </c>
      <c r="L762" s="247" t="s">
        <v>677</v>
      </c>
      <c r="M762" s="246" t="s">
        <v>270</v>
      </c>
      <c r="N762" s="200"/>
      <c r="O762" s="200"/>
      <c r="P762" s="231" t="str">
        <f>VLOOKUP(Ruimtestaat[[#This Row],[Ruimte code]],Ruimtegroepen[#All],4,FALSE)</f>
        <v>V  (Verkeersruimte)</v>
      </c>
      <c r="Q762" s="201"/>
      <c r="R762" s="202"/>
      <c r="S762" s="202"/>
      <c r="T762" s="202">
        <f>IF(R762&gt;0,IF(RIGHT(Ruimtestaat[[#This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762" s="202">
        <f>IF(T762&gt;0,VLOOKUP($J762,Ruimtegroepen[],3,FALSE)*VLOOKUP($L762,Vloersoorten[],3,FALSE)*VLOOKUP($S762,Frequenties[],3,FALSE)*VLOOKUP($A762,Locaties[],3,FALSE),0)</f>
        <v>0</v>
      </c>
      <c r="V762" s="202">
        <f>Ruimtestaat[[#This Row],[Uitvoeringen werkdagen]]*Ruimtestaat[[#This Row],[Oppervlak (netto)]]</f>
        <v>0</v>
      </c>
      <c r="W762" s="242">
        <f>IF(U762&gt;0,Ruimtestaat[[#This Row],[Prest. (m2 /jaar) werkdagen]]/Ruimtestaat[[#This Row],[Norm (m2/uur) werkdagen]],0)</f>
        <v>0</v>
      </c>
      <c r="X762" s="243">
        <f>Ruimtestaat[[#This Row],[uren / jaar werkdagen]]*Tariefsopbouw!$D$38</f>
        <v>0</v>
      </c>
      <c r="Y762" s="33"/>
      <c r="Z762" s="33">
        <f>IF(Ruimtestaat[[#This Row],[Frequentie weekend]]&gt;0,VALUE(LEFT(Y762,1))*R762,0)</f>
        <v>0</v>
      </c>
      <c r="AA762" s="33">
        <f>IF($Z762&gt;0,VLOOKUP($J762,Ruimtegroepen[],3,FALSE)*VLOOKUP($L762,Vloersoorten[],3,FALSE)*VLOOKUP($Y762,Frequenties[],3,FALSE)*VLOOKUP(#REF!,Locaties[],3,FALSE),0)</f>
        <v>0</v>
      </c>
      <c r="AB762" s="33"/>
      <c r="AC762" s="33"/>
      <c r="AD762" s="33">
        <f>Ruimtestaat[[#This Row],[uren / jaar weekend]]*Tariefsopbouw!$D$40</f>
        <v>0</v>
      </c>
      <c r="AE762" s="86">
        <f>Ruimtestaat[[#This Row],[Prest. (m2 /jaar) weekend]]+Ruimtestaat[[#This Row],[Prest. (m2 /jaar) werkdagen]]</f>
        <v>0</v>
      </c>
      <c r="AF762" s="86">
        <f>Ruimtestaat[[#This Row],[uren / jaar weekend]]+Ruimtestaat[[#This Row],[uren / jaar werkdagen]]</f>
        <v>0</v>
      </c>
      <c r="AG762" s="87">
        <f>Ruimtestaat[[#This Row],[kosten / jaar weekend]]+Ruimtestaat[[#This Row],[kosten / jaar werkdagen]]</f>
        <v>0</v>
      </c>
    </row>
    <row r="763" spans="1:33" ht="15" customHeight="1">
      <c r="A763" s="187">
        <v>6</v>
      </c>
      <c r="B763" s="21" t="str">
        <f>VLOOKUP(Ruimtestaat[[#This Row],[Code]],Locaties[#All],2,FALSE)</f>
        <v>De Thij</v>
      </c>
      <c r="C763" s="247" t="str">
        <f>VLOOKUP(Ruimtestaat[[#This Row],[Code]],Locaties[#All],4,FALSE)</f>
        <v>Thijlaan 30</v>
      </c>
      <c r="D763" s="247" t="str">
        <f>VLOOKUP(Ruimtestaat[[#This Row],[Code]],Locaties[#All],5,FALSE)</f>
        <v>7576 ZB</v>
      </c>
      <c r="E763" s="187" t="str">
        <f>VLOOKUP(Ruimtestaat[[#This Row],[Code]],Locaties[#All],6,FALSE)</f>
        <v>Oldenzaal</v>
      </c>
      <c r="F763" s="248"/>
      <c r="G763" s="246" t="s">
        <v>679</v>
      </c>
      <c r="H763" s="246" t="s">
        <v>822</v>
      </c>
      <c r="I763" s="248" t="s">
        <v>823</v>
      </c>
      <c r="J763" s="187">
        <v>20</v>
      </c>
      <c r="K763" s="187" t="str">
        <f>VLOOKUP(Ruimtestaat[[#This Row],[Ruimte code]],Ruimtegroepen[#All],2,FALSE)</f>
        <v>Niet in onderhoud</v>
      </c>
      <c r="L763" s="247" t="s">
        <v>677</v>
      </c>
      <c r="M763" s="246" t="s">
        <v>270</v>
      </c>
      <c r="N763" s="200"/>
      <c r="O763" s="200"/>
      <c r="P763" s="231" t="str">
        <f>VLOOKUP(Ruimtestaat[[#This Row],[Ruimte code]],Ruimtegroepen[#All],4,FALSE)</f>
        <v>V  (Verkeersruimte)</v>
      </c>
      <c r="Q763" s="201"/>
      <c r="R763" s="202"/>
      <c r="S763" s="202"/>
      <c r="T763" s="202">
        <f>IF(R763&gt;0,IF(RIGHT(Ruimtestaat[[#This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763" s="202">
        <f>IF(T763&gt;0,VLOOKUP($J763,Ruimtegroepen[],3,FALSE)*VLOOKUP($L763,Vloersoorten[],3,FALSE)*VLOOKUP($S763,Frequenties[],3,FALSE)*VLOOKUP($A763,Locaties[],3,FALSE),0)</f>
        <v>0</v>
      </c>
      <c r="V763" s="202">
        <f>Ruimtestaat[[#This Row],[Uitvoeringen werkdagen]]*Ruimtestaat[[#This Row],[Oppervlak (netto)]]</f>
        <v>0</v>
      </c>
      <c r="W763" s="242">
        <f>IF(U763&gt;0,Ruimtestaat[[#This Row],[Prest. (m2 /jaar) werkdagen]]/Ruimtestaat[[#This Row],[Norm (m2/uur) werkdagen]],0)</f>
        <v>0</v>
      </c>
      <c r="X763" s="243">
        <f>Ruimtestaat[[#This Row],[uren / jaar werkdagen]]*Tariefsopbouw!$D$38</f>
        <v>0</v>
      </c>
      <c r="Y763" s="33"/>
      <c r="Z763" s="33">
        <f>IF(Ruimtestaat[[#This Row],[Frequentie weekend]]&gt;0,VALUE(LEFT(Y763,1))*R763,0)</f>
        <v>0</v>
      </c>
      <c r="AA763" s="33">
        <f>IF($Z763&gt;0,VLOOKUP($J763,Ruimtegroepen[],3,FALSE)*VLOOKUP($L763,Vloersoorten[],3,FALSE)*VLOOKUP($Y763,Frequenties[],3,FALSE)*VLOOKUP(#REF!,Locaties[],3,FALSE),0)</f>
        <v>0</v>
      </c>
      <c r="AB763" s="33"/>
      <c r="AC763" s="33"/>
      <c r="AD763" s="33">
        <f>Ruimtestaat[[#This Row],[uren / jaar weekend]]*Tariefsopbouw!$D$40</f>
        <v>0</v>
      </c>
      <c r="AE763" s="86">
        <f>Ruimtestaat[[#This Row],[Prest. (m2 /jaar) weekend]]+Ruimtestaat[[#This Row],[Prest. (m2 /jaar) werkdagen]]</f>
        <v>0</v>
      </c>
      <c r="AF763" s="86">
        <f>Ruimtestaat[[#This Row],[uren / jaar weekend]]+Ruimtestaat[[#This Row],[uren / jaar werkdagen]]</f>
        <v>0</v>
      </c>
      <c r="AG763" s="87">
        <f>Ruimtestaat[[#This Row],[kosten / jaar weekend]]+Ruimtestaat[[#This Row],[kosten / jaar werkdagen]]</f>
        <v>0</v>
      </c>
    </row>
    <row r="764" spans="1:33" ht="15" customHeight="1">
      <c r="A764" s="187">
        <v>6</v>
      </c>
      <c r="B764" s="21" t="str">
        <f>VLOOKUP(Ruimtestaat[[#This Row],[Code]],Locaties[#All],2,FALSE)</f>
        <v>De Thij</v>
      </c>
      <c r="C764" s="247" t="str">
        <f>VLOOKUP(Ruimtestaat[[#This Row],[Code]],Locaties[#All],4,FALSE)</f>
        <v>Thijlaan 30</v>
      </c>
      <c r="D764" s="247" t="str">
        <f>VLOOKUP(Ruimtestaat[[#This Row],[Code]],Locaties[#All],5,FALSE)</f>
        <v>7576 ZB</v>
      </c>
      <c r="E764" s="187" t="str">
        <f>VLOOKUP(Ruimtestaat[[#This Row],[Code]],Locaties[#All],6,FALSE)</f>
        <v>Oldenzaal</v>
      </c>
      <c r="F764" s="248"/>
      <c r="G764" s="246" t="s">
        <v>679</v>
      </c>
      <c r="H764" s="246" t="s">
        <v>824</v>
      </c>
      <c r="I764" s="248" t="s">
        <v>617</v>
      </c>
      <c r="J764" s="247">
        <v>20</v>
      </c>
      <c r="K764" s="247" t="str">
        <f>VLOOKUP(Ruimtestaat[[#This Row],[Ruimte code]],Ruimtegroepen[#All],2,FALSE)</f>
        <v>Niet in onderhoud</v>
      </c>
      <c r="L764" s="247" t="s">
        <v>677</v>
      </c>
      <c r="M764" s="246" t="s">
        <v>270</v>
      </c>
      <c r="N764" s="200"/>
      <c r="O764" s="200"/>
      <c r="P764" s="231" t="str">
        <f>VLOOKUP(Ruimtestaat[[#This Row],[Ruimte code]],Ruimtegroepen[#All],4,FALSE)</f>
        <v>V  (Verkeersruimte)</v>
      </c>
      <c r="Q764" s="201"/>
      <c r="R764" s="202"/>
      <c r="S764" s="202"/>
      <c r="T764" s="202">
        <f>IF(R764&gt;0,IF(RIGHT(Ruimtestaat[[#This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764" s="202">
        <f>IF(T764&gt;0,VLOOKUP($J764,Ruimtegroepen[],3,FALSE)*VLOOKUP($L764,Vloersoorten[],3,FALSE)*VLOOKUP($S764,Frequenties[],3,FALSE)*VLOOKUP($A764,Locaties[],3,FALSE),0)</f>
        <v>0</v>
      </c>
      <c r="V764" s="202">
        <f>Ruimtestaat[[#This Row],[Uitvoeringen werkdagen]]*Ruimtestaat[[#This Row],[Oppervlak (netto)]]</f>
        <v>0</v>
      </c>
      <c r="W764" s="242">
        <f>IF(U764&gt;0,Ruimtestaat[[#This Row],[Prest. (m2 /jaar) werkdagen]]/Ruimtestaat[[#This Row],[Norm (m2/uur) werkdagen]],0)</f>
        <v>0</v>
      </c>
      <c r="X764" s="243">
        <f>Ruimtestaat[[#This Row],[uren / jaar werkdagen]]*Tariefsopbouw!$D$38</f>
        <v>0</v>
      </c>
      <c r="Y764" s="33"/>
      <c r="Z764" s="33">
        <f>IF(Ruimtestaat[[#This Row],[Frequentie weekend]]&gt;0,VALUE(LEFT(Y764,1))*R764,0)</f>
        <v>0</v>
      </c>
      <c r="AA764" s="33">
        <f>IF($Z764&gt;0,VLOOKUP($J764,Ruimtegroepen[],3,FALSE)*VLOOKUP($L764,Vloersoorten[],3,FALSE)*VLOOKUP($Y764,Frequenties[],3,FALSE)*VLOOKUP(#REF!,Locaties[],3,FALSE),0)</f>
        <v>0</v>
      </c>
      <c r="AB764" s="33"/>
      <c r="AC764" s="33"/>
      <c r="AD764" s="33">
        <f>Ruimtestaat[[#This Row],[uren / jaar weekend]]*Tariefsopbouw!$D$40</f>
        <v>0</v>
      </c>
      <c r="AE764" s="86">
        <f>Ruimtestaat[[#This Row],[Prest. (m2 /jaar) weekend]]+Ruimtestaat[[#This Row],[Prest. (m2 /jaar) werkdagen]]</f>
        <v>0</v>
      </c>
      <c r="AF764" s="86">
        <f>Ruimtestaat[[#This Row],[uren / jaar weekend]]+Ruimtestaat[[#This Row],[uren / jaar werkdagen]]</f>
        <v>0</v>
      </c>
      <c r="AG764" s="87">
        <f>Ruimtestaat[[#This Row],[kosten / jaar weekend]]+Ruimtestaat[[#This Row],[kosten / jaar werkdagen]]</f>
        <v>0</v>
      </c>
    </row>
    <row r="765" spans="1:33" ht="15" customHeight="1">
      <c r="A765" s="187">
        <v>6</v>
      </c>
      <c r="B765" s="21" t="str">
        <f>VLOOKUP(Ruimtestaat[[#This Row],[Code]],Locaties[#All],2,FALSE)</f>
        <v>De Thij</v>
      </c>
      <c r="C765" s="247" t="str">
        <f>VLOOKUP(Ruimtestaat[[#This Row],[Code]],Locaties[#All],4,FALSE)</f>
        <v>Thijlaan 30</v>
      </c>
      <c r="D765" s="247" t="str">
        <f>VLOOKUP(Ruimtestaat[[#This Row],[Code]],Locaties[#All],5,FALSE)</f>
        <v>7576 ZB</v>
      </c>
      <c r="E765" s="187" t="str">
        <f>VLOOKUP(Ruimtestaat[[#This Row],[Code]],Locaties[#All],6,FALSE)</f>
        <v>Oldenzaal</v>
      </c>
      <c r="F765" s="248"/>
      <c r="G765" s="246" t="s">
        <v>679</v>
      </c>
      <c r="H765" s="246" t="s">
        <v>825</v>
      </c>
      <c r="I765" s="248" t="s">
        <v>468</v>
      </c>
      <c r="J765" s="187">
        <v>9</v>
      </c>
      <c r="K765" s="187" t="str">
        <f>VLOOKUP(Ruimtestaat[[#This Row],[Ruimte code]],Ruimtegroepen[#All],2,FALSE)</f>
        <v>Bibliotheek / OLC</v>
      </c>
      <c r="L765" s="247" t="s">
        <v>1204</v>
      </c>
      <c r="M765" s="246" t="s">
        <v>1205</v>
      </c>
      <c r="N765" s="200">
        <v>140</v>
      </c>
      <c r="O765" s="200"/>
      <c r="P765" s="231" t="str">
        <f>VLOOKUP(Ruimtestaat[[#This Row],[Ruimte code]],Ruimtegroepen[#All],4,FALSE)</f>
        <v>L  (Lesruimte)</v>
      </c>
      <c r="Q765" s="201"/>
      <c r="R765" s="202">
        <v>42</v>
      </c>
      <c r="S765" s="202" t="s">
        <v>2</v>
      </c>
      <c r="T765" s="202">
        <f>IF(R765&gt;0,IF(RIGHT(Ruimtestaat[[#This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65" s="202">
        <f>IF(T765&gt;0,VLOOKUP($J765,Ruimtegroepen[],3,FALSE)*VLOOKUP($L765,Vloersoorten[],3,FALSE)*VLOOKUP($S765,Frequenties[],3,FALSE)*VLOOKUP($A765,Locaties[],3,FALSE),0)</f>
        <v>0</v>
      </c>
      <c r="V765" s="202">
        <f>Ruimtestaat[[#This Row],[Uitvoeringen werkdagen]]*Ruimtestaat[[#This Row],[Oppervlak (netto)]]</f>
        <v>29400</v>
      </c>
      <c r="W765" s="242">
        <f>IF(U765&gt;0,Ruimtestaat[[#This Row],[Prest. (m2 /jaar) werkdagen]]/Ruimtestaat[[#This Row],[Norm (m2/uur) werkdagen]],0)</f>
        <v>0</v>
      </c>
      <c r="X765" s="243">
        <f>Ruimtestaat[[#This Row],[uren / jaar werkdagen]]*Tariefsopbouw!$D$38</f>
        <v>0</v>
      </c>
      <c r="Y765" s="33"/>
      <c r="Z765" s="33">
        <f>IF(Ruimtestaat[[#This Row],[Frequentie weekend]]&gt;0,VALUE(LEFT(Y765,1))*R765,0)</f>
        <v>0</v>
      </c>
      <c r="AA765" s="33">
        <f>IF($Z765&gt;0,VLOOKUP($J765,Ruimtegroepen[],3,FALSE)*VLOOKUP($L765,Vloersoorten[],3,FALSE)*VLOOKUP($Y765,Frequenties[],3,FALSE)*VLOOKUP(#REF!,Locaties[],3,FALSE),0)</f>
        <v>0</v>
      </c>
      <c r="AB765" s="33"/>
      <c r="AC765" s="33"/>
      <c r="AD765" s="33">
        <f>Ruimtestaat[[#This Row],[uren / jaar weekend]]*Tariefsopbouw!$D$40</f>
        <v>0</v>
      </c>
      <c r="AE765" s="86">
        <f>Ruimtestaat[[#This Row],[Prest. (m2 /jaar) weekend]]+Ruimtestaat[[#This Row],[Prest. (m2 /jaar) werkdagen]]</f>
        <v>29400</v>
      </c>
      <c r="AF765" s="86">
        <f>Ruimtestaat[[#This Row],[uren / jaar weekend]]+Ruimtestaat[[#This Row],[uren / jaar werkdagen]]</f>
        <v>0</v>
      </c>
      <c r="AG765" s="87">
        <f>Ruimtestaat[[#This Row],[kosten / jaar weekend]]+Ruimtestaat[[#This Row],[kosten / jaar werkdagen]]</f>
        <v>0</v>
      </c>
    </row>
    <row r="766" spans="1:33" ht="15" customHeight="1">
      <c r="A766" s="187">
        <v>6</v>
      </c>
      <c r="B766" s="21" t="str">
        <f>VLOOKUP(Ruimtestaat[[#This Row],[Code]],Locaties[#All],2,FALSE)</f>
        <v>De Thij</v>
      </c>
      <c r="C766" s="247" t="str">
        <f>VLOOKUP(Ruimtestaat[[#This Row],[Code]],Locaties[#All],4,FALSE)</f>
        <v>Thijlaan 30</v>
      </c>
      <c r="D766" s="247" t="str">
        <f>VLOOKUP(Ruimtestaat[[#This Row],[Code]],Locaties[#All],5,FALSE)</f>
        <v>7576 ZB</v>
      </c>
      <c r="E766" s="187" t="str">
        <f>VLOOKUP(Ruimtestaat[[#This Row],[Code]],Locaties[#All],6,FALSE)</f>
        <v>Oldenzaal</v>
      </c>
      <c r="F766" s="248"/>
      <c r="G766" s="246" t="s">
        <v>679</v>
      </c>
      <c r="H766" s="246" t="s">
        <v>825</v>
      </c>
      <c r="I766" s="248" t="s">
        <v>638</v>
      </c>
      <c r="J766" s="187">
        <v>9</v>
      </c>
      <c r="K766" s="187" t="str">
        <f>VLOOKUP(Ruimtestaat[[#This Row],[Ruimte code]],Ruimtegroepen[#All],2,FALSE)</f>
        <v>Bibliotheek / OLC</v>
      </c>
      <c r="L766" s="202" t="s">
        <v>108</v>
      </c>
      <c r="M766" s="246" t="s">
        <v>1206</v>
      </c>
      <c r="N766" s="200">
        <v>140</v>
      </c>
      <c r="O766" s="200"/>
      <c r="P766" s="231" t="str">
        <f>VLOOKUP(Ruimtestaat[[#This Row],[Ruimte code]],Ruimtegroepen[#All],4,FALSE)</f>
        <v>L  (Lesruimte)</v>
      </c>
      <c r="Q766" s="201"/>
      <c r="R766" s="202">
        <v>42</v>
      </c>
      <c r="S766" s="202" t="s">
        <v>2</v>
      </c>
      <c r="T766" s="202">
        <f>IF(R766&gt;0,IF(RIGHT(Ruimtestaat[[#This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66" s="202">
        <f>IF(T766&gt;0,VLOOKUP($J766,Ruimtegroepen[],3,FALSE)*VLOOKUP($L766,Vloersoorten[],3,FALSE)*VLOOKUP($S766,Frequenties[],3,FALSE)*VLOOKUP($A766,Locaties[],3,FALSE),0)</f>
        <v>0</v>
      </c>
      <c r="V766" s="202">
        <f>Ruimtestaat[[#This Row],[Uitvoeringen werkdagen]]*Ruimtestaat[[#This Row],[Oppervlak (netto)]]</f>
        <v>29400</v>
      </c>
      <c r="W766" s="242">
        <f>IF(U766&gt;0,Ruimtestaat[[#This Row],[Prest. (m2 /jaar) werkdagen]]/Ruimtestaat[[#This Row],[Norm (m2/uur) werkdagen]],0)</f>
        <v>0</v>
      </c>
      <c r="X766" s="243">
        <f>Ruimtestaat[[#This Row],[uren / jaar werkdagen]]*Tariefsopbouw!$D$38</f>
        <v>0</v>
      </c>
      <c r="Y766" s="33"/>
      <c r="Z766" s="33">
        <f>IF(Ruimtestaat[[#This Row],[Frequentie weekend]]&gt;0,VALUE(LEFT(Y766,1))*R766,0)</f>
        <v>0</v>
      </c>
      <c r="AA766" s="33">
        <f>IF($Z766&gt;0,VLOOKUP($J766,Ruimtegroepen[],3,FALSE)*VLOOKUP($L766,Vloersoorten[],3,FALSE)*VLOOKUP($Y766,Frequenties[],3,FALSE)*VLOOKUP(#REF!,Locaties[],3,FALSE),0)</f>
        <v>0</v>
      </c>
      <c r="AB766" s="33"/>
      <c r="AC766" s="33"/>
      <c r="AD766" s="33">
        <f>Ruimtestaat[[#This Row],[uren / jaar weekend]]*Tariefsopbouw!$D$40</f>
        <v>0</v>
      </c>
      <c r="AE766" s="86">
        <f>Ruimtestaat[[#This Row],[Prest. (m2 /jaar) weekend]]+Ruimtestaat[[#This Row],[Prest. (m2 /jaar) werkdagen]]</f>
        <v>29400</v>
      </c>
      <c r="AF766" s="86">
        <f>Ruimtestaat[[#This Row],[uren / jaar weekend]]+Ruimtestaat[[#This Row],[uren / jaar werkdagen]]</f>
        <v>0</v>
      </c>
      <c r="AG766" s="87">
        <f>Ruimtestaat[[#This Row],[kosten / jaar weekend]]+Ruimtestaat[[#This Row],[kosten / jaar werkdagen]]</f>
        <v>0</v>
      </c>
    </row>
    <row r="767" spans="1:33" ht="15" customHeight="1">
      <c r="A767" s="187">
        <v>6</v>
      </c>
      <c r="B767" s="21" t="str">
        <f>VLOOKUP(Ruimtestaat[[#This Row],[Code]],Locaties[#All],2,FALSE)</f>
        <v>De Thij</v>
      </c>
      <c r="C767" s="247" t="str">
        <f>VLOOKUP(Ruimtestaat[[#This Row],[Code]],Locaties[#All],4,FALSE)</f>
        <v>Thijlaan 30</v>
      </c>
      <c r="D767" s="247" t="str">
        <f>VLOOKUP(Ruimtestaat[[#This Row],[Code]],Locaties[#All],5,FALSE)</f>
        <v>7576 ZB</v>
      </c>
      <c r="E767" s="187" t="str">
        <f>VLOOKUP(Ruimtestaat[[#This Row],[Code]],Locaties[#All],6,FALSE)</f>
        <v>Oldenzaal</v>
      </c>
      <c r="F767" s="248"/>
      <c r="G767" s="246" t="s">
        <v>679</v>
      </c>
      <c r="H767" s="246" t="s">
        <v>826</v>
      </c>
      <c r="I767" s="248" t="s">
        <v>658</v>
      </c>
      <c r="J767" s="187">
        <v>6</v>
      </c>
      <c r="K767" s="187" t="str">
        <f>VLOOKUP(Ruimtestaat[[#This Row],[Ruimte code]],Ruimtegroepen[#All],2,FALSE)</f>
        <v>Gangen/hallen</v>
      </c>
      <c r="L767" s="247" t="s">
        <v>1204</v>
      </c>
      <c r="M767" s="246" t="s">
        <v>1205</v>
      </c>
      <c r="N767" s="200">
        <v>113</v>
      </c>
      <c r="O767" s="200"/>
      <c r="P767" s="231" t="str">
        <f>VLOOKUP(Ruimtestaat[[#This Row],[Ruimte code]],Ruimtegroepen[#All],4,FALSE)</f>
        <v>V  (Verkeersruimte)</v>
      </c>
      <c r="Q767" s="201"/>
      <c r="R767" s="202">
        <v>42</v>
      </c>
      <c r="S767" s="202" t="s">
        <v>2</v>
      </c>
      <c r="T767" s="202">
        <f>IF(R767&gt;0,IF(RIGHT(Ruimtestaat[[#This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67" s="202">
        <f>IF(T767&gt;0,VLOOKUP($J767,Ruimtegroepen[],3,FALSE)*VLOOKUP($L767,Vloersoorten[],3,FALSE)*VLOOKUP($S767,Frequenties[],3,FALSE)*VLOOKUP($A767,Locaties[],3,FALSE),0)</f>
        <v>0</v>
      </c>
      <c r="V767" s="202">
        <f>Ruimtestaat[[#This Row],[Uitvoeringen werkdagen]]*Ruimtestaat[[#This Row],[Oppervlak (netto)]]</f>
        <v>23730</v>
      </c>
      <c r="W767" s="242">
        <f>IF(U767&gt;0,Ruimtestaat[[#This Row],[Prest. (m2 /jaar) werkdagen]]/Ruimtestaat[[#This Row],[Norm (m2/uur) werkdagen]],0)</f>
        <v>0</v>
      </c>
      <c r="X767" s="243">
        <f>Ruimtestaat[[#This Row],[uren / jaar werkdagen]]*Tariefsopbouw!$D$38</f>
        <v>0</v>
      </c>
      <c r="Y767" s="33"/>
      <c r="Z767" s="33">
        <f>IF(Ruimtestaat[[#This Row],[Frequentie weekend]]&gt;0,VALUE(LEFT(Y767,1))*R767,0)</f>
        <v>0</v>
      </c>
      <c r="AA767" s="33">
        <f>IF($Z767&gt;0,VLOOKUP($J767,Ruimtegroepen[],3,FALSE)*VLOOKUP($L767,Vloersoorten[],3,FALSE)*VLOOKUP($Y767,Frequenties[],3,FALSE)*VLOOKUP(#REF!,Locaties[],3,FALSE),0)</f>
        <v>0</v>
      </c>
      <c r="AB767" s="33"/>
      <c r="AC767" s="33"/>
      <c r="AD767" s="33">
        <f>Ruimtestaat[[#This Row],[uren / jaar weekend]]*Tariefsopbouw!$D$40</f>
        <v>0</v>
      </c>
      <c r="AE767" s="86">
        <f>Ruimtestaat[[#This Row],[Prest. (m2 /jaar) weekend]]+Ruimtestaat[[#This Row],[Prest. (m2 /jaar) werkdagen]]</f>
        <v>23730</v>
      </c>
      <c r="AF767" s="86">
        <f>Ruimtestaat[[#This Row],[uren / jaar weekend]]+Ruimtestaat[[#This Row],[uren / jaar werkdagen]]</f>
        <v>0</v>
      </c>
      <c r="AG767" s="87">
        <f>Ruimtestaat[[#This Row],[kosten / jaar weekend]]+Ruimtestaat[[#This Row],[kosten / jaar werkdagen]]</f>
        <v>0</v>
      </c>
    </row>
    <row r="768" spans="1:33" ht="15" customHeight="1">
      <c r="A768" s="187">
        <v>6</v>
      </c>
      <c r="B768" s="21" t="str">
        <f>VLOOKUP(Ruimtestaat[[#This Row],[Code]],Locaties[#All],2,FALSE)</f>
        <v>De Thij</v>
      </c>
      <c r="C768" s="247" t="str">
        <f>VLOOKUP(Ruimtestaat[[#This Row],[Code]],Locaties[#All],4,FALSE)</f>
        <v>Thijlaan 30</v>
      </c>
      <c r="D768" s="247" t="str">
        <f>VLOOKUP(Ruimtestaat[[#This Row],[Code]],Locaties[#All],5,FALSE)</f>
        <v>7576 ZB</v>
      </c>
      <c r="E768" s="187" t="str">
        <f>VLOOKUP(Ruimtestaat[[#This Row],[Code]],Locaties[#All],6,FALSE)</f>
        <v>Oldenzaal</v>
      </c>
      <c r="F768" s="248"/>
      <c r="G768" s="246">
        <v>1</v>
      </c>
      <c r="H768" s="246" t="s">
        <v>462</v>
      </c>
      <c r="I768" s="248" t="s">
        <v>827</v>
      </c>
      <c r="J768" s="187">
        <v>14</v>
      </c>
      <c r="K768" s="187" t="str">
        <f>VLOOKUP(Ruimtestaat[[#This Row],[Ruimte code]],Ruimtegroepen[#All],2,FALSE)</f>
        <v>Praktijklokalen/kabinet</v>
      </c>
      <c r="L768" s="247" t="s">
        <v>677</v>
      </c>
      <c r="M768" s="246" t="s">
        <v>270</v>
      </c>
      <c r="N768" s="200">
        <v>93.48</v>
      </c>
      <c r="O768" s="200"/>
      <c r="P768" s="231" t="str">
        <f>VLOOKUP(Ruimtestaat[[#This Row],[Ruimte code]],Ruimtegroepen[#All],4,FALSE)</f>
        <v>L  (Lesruimte)</v>
      </c>
      <c r="Q768" s="201"/>
      <c r="R768" s="202">
        <v>42</v>
      </c>
      <c r="S768" s="202" t="s">
        <v>2</v>
      </c>
      <c r="T768" s="202">
        <f>IF(R768&gt;0,IF(RIGHT(Ruimtestaat[[#This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68" s="202">
        <f>IF(T768&gt;0,VLOOKUP($J768,Ruimtegroepen[],3,FALSE)*VLOOKUP($L768,Vloersoorten[],3,FALSE)*VLOOKUP($S768,Frequenties[],3,FALSE)*VLOOKUP($A768,Locaties[],3,FALSE),0)</f>
        <v>0</v>
      </c>
      <c r="V768" s="202">
        <f>Ruimtestaat[[#This Row],[Uitvoeringen werkdagen]]*Ruimtestaat[[#This Row],[Oppervlak (netto)]]</f>
        <v>19630.8</v>
      </c>
      <c r="W768" s="242">
        <f>IF(U768&gt;0,Ruimtestaat[[#This Row],[Prest. (m2 /jaar) werkdagen]]/Ruimtestaat[[#This Row],[Norm (m2/uur) werkdagen]],0)</f>
        <v>0</v>
      </c>
      <c r="X768" s="243">
        <f>Ruimtestaat[[#This Row],[uren / jaar werkdagen]]*Tariefsopbouw!$D$38</f>
        <v>0</v>
      </c>
      <c r="Y768" s="33"/>
      <c r="Z768" s="33">
        <f>IF(Ruimtestaat[[#This Row],[Frequentie weekend]]&gt;0,VALUE(LEFT(Y768,1))*R768,0)</f>
        <v>0</v>
      </c>
      <c r="AA768" s="33">
        <f>IF($Z768&gt;0,VLOOKUP($J768,Ruimtegroepen[],3,FALSE)*VLOOKUP($L768,Vloersoorten[],3,FALSE)*VLOOKUP($Y768,Frequenties[],3,FALSE)*VLOOKUP(#REF!,Locaties[],3,FALSE),0)</f>
        <v>0</v>
      </c>
      <c r="AB768" s="33"/>
      <c r="AC768" s="33"/>
      <c r="AD768" s="33">
        <f>Ruimtestaat[[#This Row],[uren / jaar weekend]]*Tariefsopbouw!$D$40</f>
        <v>0</v>
      </c>
      <c r="AE768" s="86">
        <f>Ruimtestaat[[#This Row],[Prest. (m2 /jaar) weekend]]+Ruimtestaat[[#This Row],[Prest. (m2 /jaar) werkdagen]]</f>
        <v>19630.8</v>
      </c>
      <c r="AF768" s="86">
        <f>Ruimtestaat[[#This Row],[uren / jaar weekend]]+Ruimtestaat[[#This Row],[uren / jaar werkdagen]]</f>
        <v>0</v>
      </c>
      <c r="AG768" s="87">
        <f>Ruimtestaat[[#This Row],[kosten / jaar weekend]]+Ruimtestaat[[#This Row],[kosten / jaar werkdagen]]</f>
        <v>0</v>
      </c>
    </row>
    <row r="769" spans="1:33" ht="15" customHeight="1">
      <c r="A769" s="187">
        <v>6</v>
      </c>
      <c r="B769" s="21" t="str">
        <f>VLOOKUP(Ruimtestaat[[#This Row],[Code]],Locaties[#All],2,FALSE)</f>
        <v>De Thij</v>
      </c>
      <c r="C769" s="247" t="str">
        <f>VLOOKUP(Ruimtestaat[[#This Row],[Code]],Locaties[#All],4,FALSE)</f>
        <v>Thijlaan 30</v>
      </c>
      <c r="D769" s="247" t="str">
        <f>VLOOKUP(Ruimtestaat[[#This Row],[Code]],Locaties[#All],5,FALSE)</f>
        <v>7576 ZB</v>
      </c>
      <c r="E769" s="187" t="str">
        <f>VLOOKUP(Ruimtestaat[[#This Row],[Code]],Locaties[#All],6,FALSE)</f>
        <v>Oldenzaal</v>
      </c>
      <c r="F769" s="248"/>
      <c r="G769" s="246">
        <v>1</v>
      </c>
      <c r="H769" s="246" t="s">
        <v>463</v>
      </c>
      <c r="I769" s="248" t="s">
        <v>644</v>
      </c>
      <c r="J769" s="187">
        <v>14</v>
      </c>
      <c r="K769" s="187" t="str">
        <f>VLOOKUP(Ruimtestaat[[#This Row],[Ruimte code]],Ruimtegroepen[#All],2,FALSE)</f>
        <v>Praktijklokalen/kabinet</v>
      </c>
      <c r="L769" s="247" t="s">
        <v>677</v>
      </c>
      <c r="M769" s="246" t="s">
        <v>270</v>
      </c>
      <c r="N769" s="200">
        <v>12.6</v>
      </c>
      <c r="O769" s="200"/>
      <c r="P769" s="231" t="str">
        <f>VLOOKUP(Ruimtestaat[[#This Row],[Ruimte code]],Ruimtegroepen[#All],4,FALSE)</f>
        <v>L  (Lesruimte)</v>
      </c>
      <c r="Q769" s="201"/>
      <c r="R769" s="202">
        <v>42</v>
      </c>
      <c r="S769" s="202" t="s">
        <v>2</v>
      </c>
      <c r="T769" s="202">
        <f>IF(R769&gt;0,IF(RIGHT(Ruimtestaat[[#This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69" s="202">
        <f>IF(T769&gt;0,VLOOKUP($J769,Ruimtegroepen[],3,FALSE)*VLOOKUP($L769,Vloersoorten[],3,FALSE)*VLOOKUP($S769,Frequenties[],3,FALSE)*VLOOKUP($A769,Locaties[],3,FALSE),0)</f>
        <v>0</v>
      </c>
      <c r="V769" s="202">
        <f>Ruimtestaat[[#This Row],[Uitvoeringen werkdagen]]*Ruimtestaat[[#This Row],[Oppervlak (netto)]]</f>
        <v>2646</v>
      </c>
      <c r="W769" s="242">
        <f>IF(U769&gt;0,Ruimtestaat[[#This Row],[Prest. (m2 /jaar) werkdagen]]/Ruimtestaat[[#This Row],[Norm (m2/uur) werkdagen]],0)</f>
        <v>0</v>
      </c>
      <c r="X769" s="243">
        <f>Ruimtestaat[[#This Row],[uren / jaar werkdagen]]*Tariefsopbouw!$D$38</f>
        <v>0</v>
      </c>
      <c r="Y769" s="33"/>
      <c r="Z769" s="33">
        <f>IF(Ruimtestaat[[#This Row],[Frequentie weekend]]&gt;0,VALUE(LEFT(Y769,1))*R769,0)</f>
        <v>0</v>
      </c>
      <c r="AA769" s="33">
        <f>IF($Z769&gt;0,VLOOKUP($J769,Ruimtegroepen[],3,FALSE)*VLOOKUP($L769,Vloersoorten[],3,FALSE)*VLOOKUP($Y769,Frequenties[],3,FALSE)*VLOOKUP(#REF!,Locaties[],3,FALSE),0)</f>
        <v>0</v>
      </c>
      <c r="AB769" s="33"/>
      <c r="AC769" s="33"/>
      <c r="AD769" s="33">
        <f>Ruimtestaat[[#This Row],[uren / jaar weekend]]*Tariefsopbouw!$D$40</f>
        <v>0</v>
      </c>
      <c r="AE769" s="86">
        <f>Ruimtestaat[[#This Row],[Prest. (m2 /jaar) weekend]]+Ruimtestaat[[#This Row],[Prest. (m2 /jaar) werkdagen]]</f>
        <v>2646</v>
      </c>
      <c r="AF769" s="86">
        <f>Ruimtestaat[[#This Row],[uren / jaar weekend]]+Ruimtestaat[[#This Row],[uren / jaar werkdagen]]</f>
        <v>0</v>
      </c>
      <c r="AG769" s="87">
        <f>Ruimtestaat[[#This Row],[kosten / jaar weekend]]+Ruimtestaat[[#This Row],[kosten / jaar werkdagen]]</f>
        <v>0</v>
      </c>
    </row>
    <row r="770" spans="1:33" ht="15" customHeight="1">
      <c r="A770" s="187">
        <v>6</v>
      </c>
      <c r="B770" s="21" t="str">
        <f>VLOOKUP(Ruimtestaat[[#This Row],[Code]],Locaties[#All],2,FALSE)</f>
        <v>De Thij</v>
      </c>
      <c r="C770" s="247" t="str">
        <f>VLOOKUP(Ruimtestaat[[#This Row],[Code]],Locaties[#All],4,FALSE)</f>
        <v>Thijlaan 30</v>
      </c>
      <c r="D770" s="247" t="str">
        <f>VLOOKUP(Ruimtestaat[[#This Row],[Code]],Locaties[#All],5,FALSE)</f>
        <v>7576 ZB</v>
      </c>
      <c r="E770" s="187" t="str">
        <f>VLOOKUP(Ruimtestaat[[#This Row],[Code]],Locaties[#All],6,FALSE)</f>
        <v>Oldenzaal</v>
      </c>
      <c r="F770" s="248"/>
      <c r="G770" s="246">
        <v>1</v>
      </c>
      <c r="H770" s="246" t="s">
        <v>464</v>
      </c>
      <c r="I770" s="248" t="s">
        <v>828</v>
      </c>
      <c r="J770" s="187">
        <v>14</v>
      </c>
      <c r="K770" s="187" t="str">
        <f>VLOOKUP(Ruimtestaat[[#This Row],[Ruimte code]],Ruimtegroepen[#All],2,FALSE)</f>
        <v>Praktijklokalen/kabinet</v>
      </c>
      <c r="L770" s="247" t="s">
        <v>677</v>
      </c>
      <c r="M770" s="246" t="s">
        <v>270</v>
      </c>
      <c r="N770" s="200">
        <v>10.01</v>
      </c>
      <c r="O770" s="200"/>
      <c r="P770" s="231" t="str">
        <f>VLOOKUP(Ruimtestaat[[#This Row],[Ruimte code]],Ruimtegroepen[#All],4,FALSE)</f>
        <v>L  (Lesruimte)</v>
      </c>
      <c r="Q770" s="201"/>
      <c r="R770" s="202">
        <v>42</v>
      </c>
      <c r="S770" s="202" t="s">
        <v>2</v>
      </c>
      <c r="T770" s="202">
        <f>IF(R770&gt;0,IF(RIGHT(Ruimtestaat[[#This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70" s="202">
        <f>IF(T770&gt;0,VLOOKUP($J770,Ruimtegroepen[],3,FALSE)*VLOOKUP($L770,Vloersoorten[],3,FALSE)*VLOOKUP($S770,Frequenties[],3,FALSE)*VLOOKUP($A770,Locaties[],3,FALSE),0)</f>
        <v>0</v>
      </c>
      <c r="V770" s="202">
        <f>Ruimtestaat[[#This Row],[Uitvoeringen werkdagen]]*Ruimtestaat[[#This Row],[Oppervlak (netto)]]</f>
        <v>2102.1</v>
      </c>
      <c r="W770" s="242">
        <f>IF(U770&gt;0,Ruimtestaat[[#This Row],[Prest. (m2 /jaar) werkdagen]]/Ruimtestaat[[#This Row],[Norm (m2/uur) werkdagen]],0)</f>
        <v>0</v>
      </c>
      <c r="X770" s="243">
        <f>Ruimtestaat[[#This Row],[uren / jaar werkdagen]]*Tariefsopbouw!$D$38</f>
        <v>0</v>
      </c>
      <c r="Y770" s="33"/>
      <c r="Z770" s="33">
        <f>IF(Ruimtestaat[[#This Row],[Frequentie weekend]]&gt;0,VALUE(LEFT(Y770,1))*R770,0)</f>
        <v>0</v>
      </c>
      <c r="AA770" s="33">
        <f>IF($Z770&gt;0,VLOOKUP($J770,Ruimtegroepen[],3,FALSE)*VLOOKUP($L770,Vloersoorten[],3,FALSE)*VLOOKUP($Y770,Frequenties[],3,FALSE)*VLOOKUP(#REF!,Locaties[],3,FALSE),0)</f>
        <v>0</v>
      </c>
      <c r="AB770" s="33"/>
      <c r="AC770" s="33"/>
      <c r="AD770" s="33">
        <f>Ruimtestaat[[#This Row],[uren / jaar weekend]]*Tariefsopbouw!$D$40</f>
        <v>0</v>
      </c>
      <c r="AE770" s="86">
        <f>Ruimtestaat[[#This Row],[Prest. (m2 /jaar) weekend]]+Ruimtestaat[[#This Row],[Prest. (m2 /jaar) werkdagen]]</f>
        <v>2102.1</v>
      </c>
      <c r="AF770" s="86">
        <f>Ruimtestaat[[#This Row],[uren / jaar weekend]]+Ruimtestaat[[#This Row],[uren / jaar werkdagen]]</f>
        <v>0</v>
      </c>
      <c r="AG770" s="87">
        <f>Ruimtestaat[[#This Row],[kosten / jaar weekend]]+Ruimtestaat[[#This Row],[kosten / jaar werkdagen]]</f>
        <v>0</v>
      </c>
    </row>
    <row r="771" spans="1:33" ht="15" customHeight="1">
      <c r="A771" s="187">
        <v>6</v>
      </c>
      <c r="B771" s="21" t="str">
        <f>VLOOKUP(Ruimtestaat[[#This Row],[Code]],Locaties[#All],2,FALSE)</f>
        <v>De Thij</v>
      </c>
      <c r="C771" s="247" t="str">
        <f>VLOOKUP(Ruimtestaat[[#This Row],[Code]],Locaties[#All],4,FALSE)</f>
        <v>Thijlaan 30</v>
      </c>
      <c r="D771" s="247" t="str">
        <f>VLOOKUP(Ruimtestaat[[#This Row],[Code]],Locaties[#All],5,FALSE)</f>
        <v>7576 ZB</v>
      </c>
      <c r="E771" s="187" t="str">
        <f>VLOOKUP(Ruimtestaat[[#This Row],[Code]],Locaties[#All],6,FALSE)</f>
        <v>Oldenzaal</v>
      </c>
      <c r="F771" s="248"/>
      <c r="G771" s="246">
        <v>1</v>
      </c>
      <c r="H771" s="246" t="s">
        <v>466</v>
      </c>
      <c r="I771" s="248" t="s">
        <v>829</v>
      </c>
      <c r="J771" s="187">
        <v>14</v>
      </c>
      <c r="K771" s="187" t="str">
        <f>VLOOKUP(Ruimtestaat[[#This Row],[Ruimte code]],Ruimtegroepen[#All],2,FALSE)</f>
        <v>Praktijklokalen/kabinet</v>
      </c>
      <c r="L771" s="247" t="s">
        <v>677</v>
      </c>
      <c r="M771" s="246" t="s">
        <v>270</v>
      </c>
      <c r="N771" s="200">
        <v>10.81</v>
      </c>
      <c r="O771" s="200"/>
      <c r="P771" s="231" t="str">
        <f>VLOOKUP(Ruimtestaat[[#This Row],[Ruimte code]],Ruimtegroepen[#All],4,FALSE)</f>
        <v>L  (Lesruimte)</v>
      </c>
      <c r="Q771" s="201"/>
      <c r="R771" s="202">
        <v>42</v>
      </c>
      <c r="S771" s="202" t="s">
        <v>2</v>
      </c>
      <c r="T771" s="202">
        <f>IF(R771&gt;0,IF(RIGHT(Ruimtestaat[[#This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71" s="202">
        <f>IF(T771&gt;0,VLOOKUP($J771,Ruimtegroepen[],3,FALSE)*VLOOKUP($L771,Vloersoorten[],3,FALSE)*VLOOKUP($S771,Frequenties[],3,FALSE)*VLOOKUP($A771,Locaties[],3,FALSE),0)</f>
        <v>0</v>
      </c>
      <c r="V771" s="202">
        <f>Ruimtestaat[[#This Row],[Uitvoeringen werkdagen]]*Ruimtestaat[[#This Row],[Oppervlak (netto)]]</f>
        <v>2270.1</v>
      </c>
      <c r="W771" s="242">
        <f>IF(U771&gt;0,Ruimtestaat[[#This Row],[Prest. (m2 /jaar) werkdagen]]/Ruimtestaat[[#This Row],[Norm (m2/uur) werkdagen]],0)</f>
        <v>0</v>
      </c>
      <c r="X771" s="243">
        <f>Ruimtestaat[[#This Row],[uren / jaar werkdagen]]*Tariefsopbouw!$D$38</f>
        <v>0</v>
      </c>
      <c r="Y771" s="33"/>
      <c r="Z771" s="33">
        <f>IF(Ruimtestaat[[#This Row],[Frequentie weekend]]&gt;0,VALUE(LEFT(Y771,1))*R771,0)</f>
        <v>0</v>
      </c>
      <c r="AA771" s="33">
        <f>IF($Z771&gt;0,VLOOKUP($J771,Ruimtegroepen[],3,FALSE)*VLOOKUP($L771,Vloersoorten[],3,FALSE)*VLOOKUP($Y771,Frequenties[],3,FALSE)*VLOOKUP(#REF!,Locaties[],3,FALSE),0)</f>
        <v>0</v>
      </c>
      <c r="AB771" s="33"/>
      <c r="AC771" s="33"/>
      <c r="AD771" s="33">
        <f>Ruimtestaat[[#This Row],[uren / jaar weekend]]*Tariefsopbouw!$D$40</f>
        <v>0</v>
      </c>
      <c r="AE771" s="86">
        <f>Ruimtestaat[[#This Row],[Prest. (m2 /jaar) weekend]]+Ruimtestaat[[#This Row],[Prest. (m2 /jaar) werkdagen]]</f>
        <v>2270.1</v>
      </c>
      <c r="AF771" s="86">
        <f>Ruimtestaat[[#This Row],[uren / jaar weekend]]+Ruimtestaat[[#This Row],[uren / jaar werkdagen]]</f>
        <v>0</v>
      </c>
      <c r="AG771" s="87">
        <f>Ruimtestaat[[#This Row],[kosten / jaar weekend]]+Ruimtestaat[[#This Row],[kosten / jaar werkdagen]]</f>
        <v>0</v>
      </c>
    </row>
    <row r="772" spans="1:33" ht="15" customHeight="1">
      <c r="A772" s="187">
        <v>6</v>
      </c>
      <c r="B772" s="21" t="str">
        <f>VLOOKUP(Ruimtestaat[[#This Row],[Code]],Locaties[#All],2,FALSE)</f>
        <v>De Thij</v>
      </c>
      <c r="C772" s="247" t="str">
        <f>VLOOKUP(Ruimtestaat[[#This Row],[Code]],Locaties[#All],4,FALSE)</f>
        <v>Thijlaan 30</v>
      </c>
      <c r="D772" s="247" t="str">
        <f>VLOOKUP(Ruimtestaat[[#This Row],[Code]],Locaties[#All],5,FALSE)</f>
        <v>7576 ZB</v>
      </c>
      <c r="E772" s="187" t="str">
        <f>VLOOKUP(Ruimtestaat[[#This Row],[Code]],Locaties[#All],6,FALSE)</f>
        <v>Oldenzaal</v>
      </c>
      <c r="F772" s="248"/>
      <c r="G772" s="246">
        <v>1</v>
      </c>
      <c r="H772" s="246" t="s">
        <v>467</v>
      </c>
      <c r="I772" s="248" t="s">
        <v>645</v>
      </c>
      <c r="J772" s="187">
        <v>14</v>
      </c>
      <c r="K772" s="187" t="str">
        <f>VLOOKUP(Ruimtestaat[[#This Row],[Ruimte code]],Ruimtegroepen[#All],2,FALSE)</f>
        <v>Praktijklokalen/kabinet</v>
      </c>
      <c r="L772" s="247" t="s">
        <v>677</v>
      </c>
      <c r="M772" s="246" t="s">
        <v>270</v>
      </c>
      <c r="N772" s="200">
        <v>14.66</v>
      </c>
      <c r="O772" s="200"/>
      <c r="P772" s="231" t="str">
        <f>VLOOKUP(Ruimtestaat[[#This Row],[Ruimte code]],Ruimtegroepen[#All],4,FALSE)</f>
        <v>L  (Lesruimte)</v>
      </c>
      <c r="Q772" s="201"/>
      <c r="R772" s="202">
        <v>42</v>
      </c>
      <c r="S772" s="202" t="s">
        <v>2</v>
      </c>
      <c r="T772" s="202">
        <f>IF(R772&gt;0,IF(RIGHT(Ruimtestaat[[#This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72" s="202">
        <f>IF(T772&gt;0,VLOOKUP($J772,Ruimtegroepen[],3,FALSE)*VLOOKUP($L772,Vloersoorten[],3,FALSE)*VLOOKUP($S772,Frequenties[],3,FALSE)*VLOOKUP($A772,Locaties[],3,FALSE),0)</f>
        <v>0</v>
      </c>
      <c r="V772" s="202">
        <f>Ruimtestaat[[#This Row],[Uitvoeringen werkdagen]]*Ruimtestaat[[#This Row],[Oppervlak (netto)]]</f>
        <v>3078.6</v>
      </c>
      <c r="W772" s="242">
        <f>IF(U772&gt;0,Ruimtestaat[[#This Row],[Prest. (m2 /jaar) werkdagen]]/Ruimtestaat[[#This Row],[Norm (m2/uur) werkdagen]],0)</f>
        <v>0</v>
      </c>
      <c r="X772" s="243">
        <f>Ruimtestaat[[#This Row],[uren / jaar werkdagen]]*Tariefsopbouw!$D$38</f>
        <v>0</v>
      </c>
      <c r="Y772" s="33"/>
      <c r="Z772" s="33">
        <f>IF(Ruimtestaat[[#This Row],[Frequentie weekend]]&gt;0,VALUE(LEFT(Y772,1))*R772,0)</f>
        <v>0</v>
      </c>
      <c r="AA772" s="33">
        <f>IF($Z772&gt;0,VLOOKUP($J772,Ruimtegroepen[],3,FALSE)*VLOOKUP($L772,Vloersoorten[],3,FALSE)*VLOOKUP($Y772,Frequenties[],3,FALSE)*VLOOKUP(#REF!,Locaties[],3,FALSE),0)</f>
        <v>0</v>
      </c>
      <c r="AB772" s="33"/>
      <c r="AC772" s="33"/>
      <c r="AD772" s="33">
        <f>Ruimtestaat[[#This Row],[uren / jaar weekend]]*Tariefsopbouw!$D$40</f>
        <v>0</v>
      </c>
      <c r="AE772" s="86">
        <f>Ruimtestaat[[#This Row],[Prest. (m2 /jaar) weekend]]+Ruimtestaat[[#This Row],[Prest. (m2 /jaar) werkdagen]]</f>
        <v>3078.6</v>
      </c>
      <c r="AF772" s="86">
        <f>Ruimtestaat[[#This Row],[uren / jaar weekend]]+Ruimtestaat[[#This Row],[uren / jaar werkdagen]]</f>
        <v>0</v>
      </c>
      <c r="AG772" s="87">
        <f>Ruimtestaat[[#This Row],[kosten / jaar weekend]]+Ruimtestaat[[#This Row],[kosten / jaar werkdagen]]</f>
        <v>0</v>
      </c>
    </row>
    <row r="773" spans="1:33" ht="15" customHeight="1">
      <c r="A773" s="187">
        <v>6</v>
      </c>
      <c r="B773" s="21" t="str">
        <f>VLOOKUP(Ruimtestaat[[#This Row],[Code]],Locaties[#All],2,FALSE)</f>
        <v>De Thij</v>
      </c>
      <c r="C773" s="247" t="str">
        <f>VLOOKUP(Ruimtestaat[[#This Row],[Code]],Locaties[#All],4,FALSE)</f>
        <v>Thijlaan 30</v>
      </c>
      <c r="D773" s="247" t="str">
        <f>VLOOKUP(Ruimtestaat[[#This Row],[Code]],Locaties[#All],5,FALSE)</f>
        <v>7576 ZB</v>
      </c>
      <c r="E773" s="187" t="str">
        <f>VLOOKUP(Ruimtestaat[[#This Row],[Code]],Locaties[#All],6,FALSE)</f>
        <v>Oldenzaal</v>
      </c>
      <c r="F773" s="248"/>
      <c r="G773" s="246">
        <v>1</v>
      </c>
      <c r="H773" s="246" t="s">
        <v>469</v>
      </c>
      <c r="I773" s="248" t="s">
        <v>646</v>
      </c>
      <c r="J773" s="187">
        <v>14</v>
      </c>
      <c r="K773" s="187" t="str">
        <f>VLOOKUP(Ruimtestaat[[#This Row],[Ruimte code]],Ruimtegroepen[#All],2,FALSE)</f>
        <v>Praktijklokalen/kabinet</v>
      </c>
      <c r="L773" s="247" t="s">
        <v>677</v>
      </c>
      <c r="M773" s="246" t="s">
        <v>270</v>
      </c>
      <c r="N773" s="200">
        <v>7.68</v>
      </c>
      <c r="O773" s="200"/>
      <c r="P773" s="231" t="str">
        <f>VLOOKUP(Ruimtestaat[[#This Row],[Ruimte code]],Ruimtegroepen[#All],4,FALSE)</f>
        <v>L  (Lesruimte)</v>
      </c>
      <c r="Q773" s="201"/>
      <c r="R773" s="202">
        <v>42</v>
      </c>
      <c r="S773" s="202" t="s">
        <v>2</v>
      </c>
      <c r="T773" s="202">
        <f>IF(R773&gt;0,IF(RIGHT(Ruimtestaat[[#This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73" s="202">
        <f>IF(T773&gt;0,VLOOKUP($J773,Ruimtegroepen[],3,FALSE)*VLOOKUP($L773,Vloersoorten[],3,FALSE)*VLOOKUP($S773,Frequenties[],3,FALSE)*VLOOKUP($A773,Locaties[],3,FALSE),0)</f>
        <v>0</v>
      </c>
      <c r="V773" s="202">
        <f>Ruimtestaat[[#This Row],[Uitvoeringen werkdagen]]*Ruimtestaat[[#This Row],[Oppervlak (netto)]]</f>
        <v>1612.8</v>
      </c>
      <c r="W773" s="242">
        <f>IF(U773&gt;0,Ruimtestaat[[#This Row],[Prest. (m2 /jaar) werkdagen]]/Ruimtestaat[[#This Row],[Norm (m2/uur) werkdagen]],0)</f>
        <v>0</v>
      </c>
      <c r="X773" s="243">
        <f>Ruimtestaat[[#This Row],[uren / jaar werkdagen]]*Tariefsopbouw!$D$38</f>
        <v>0</v>
      </c>
      <c r="Y773" s="33"/>
      <c r="Z773" s="33">
        <f>IF(Ruimtestaat[[#This Row],[Frequentie weekend]]&gt;0,VALUE(LEFT(Y773,1))*R773,0)</f>
        <v>0</v>
      </c>
      <c r="AA773" s="33">
        <f>IF($Z773&gt;0,VLOOKUP($J773,Ruimtegroepen[],3,FALSE)*VLOOKUP($L773,Vloersoorten[],3,FALSE)*VLOOKUP($Y773,Frequenties[],3,FALSE)*VLOOKUP(#REF!,Locaties[],3,FALSE),0)</f>
        <v>0</v>
      </c>
      <c r="AB773" s="33"/>
      <c r="AC773" s="33"/>
      <c r="AD773" s="33">
        <f>Ruimtestaat[[#This Row],[uren / jaar weekend]]*Tariefsopbouw!$D$40</f>
        <v>0</v>
      </c>
      <c r="AE773" s="86">
        <f>Ruimtestaat[[#This Row],[Prest. (m2 /jaar) weekend]]+Ruimtestaat[[#This Row],[Prest. (m2 /jaar) werkdagen]]</f>
        <v>1612.8</v>
      </c>
      <c r="AF773" s="86">
        <f>Ruimtestaat[[#This Row],[uren / jaar weekend]]+Ruimtestaat[[#This Row],[uren / jaar werkdagen]]</f>
        <v>0</v>
      </c>
      <c r="AG773" s="87">
        <f>Ruimtestaat[[#This Row],[kosten / jaar weekend]]+Ruimtestaat[[#This Row],[kosten / jaar werkdagen]]</f>
        <v>0</v>
      </c>
    </row>
    <row r="774" spans="1:33" ht="15" customHeight="1">
      <c r="A774" s="187">
        <v>6</v>
      </c>
      <c r="B774" s="21" t="str">
        <f>VLOOKUP(Ruimtestaat[[#This Row],[Code]],Locaties[#All],2,FALSE)</f>
        <v>De Thij</v>
      </c>
      <c r="C774" s="247" t="str">
        <f>VLOOKUP(Ruimtestaat[[#This Row],[Code]],Locaties[#All],4,FALSE)</f>
        <v>Thijlaan 30</v>
      </c>
      <c r="D774" s="247" t="str">
        <f>VLOOKUP(Ruimtestaat[[#This Row],[Code]],Locaties[#All],5,FALSE)</f>
        <v>7576 ZB</v>
      </c>
      <c r="E774" s="187" t="str">
        <f>VLOOKUP(Ruimtestaat[[#This Row],[Code]],Locaties[#All],6,FALSE)</f>
        <v>Oldenzaal</v>
      </c>
      <c r="F774" s="248"/>
      <c r="G774" s="246">
        <v>1</v>
      </c>
      <c r="H774" s="246" t="s">
        <v>470</v>
      </c>
      <c r="I774" s="248" t="s">
        <v>830</v>
      </c>
      <c r="J774" s="187">
        <v>14</v>
      </c>
      <c r="K774" s="187" t="str">
        <f>VLOOKUP(Ruimtestaat[[#This Row],[Ruimte code]],Ruimtegroepen[#All],2,FALSE)</f>
        <v>Praktijklokalen/kabinet</v>
      </c>
      <c r="L774" s="247" t="s">
        <v>677</v>
      </c>
      <c r="M774" s="246" t="s">
        <v>270</v>
      </c>
      <c r="N774" s="200">
        <v>8.64</v>
      </c>
      <c r="O774" s="200"/>
      <c r="P774" s="231" t="str">
        <f>VLOOKUP(Ruimtestaat[[#This Row],[Ruimte code]],Ruimtegroepen[#All],4,FALSE)</f>
        <v>L  (Lesruimte)</v>
      </c>
      <c r="Q774" s="201"/>
      <c r="R774" s="202">
        <v>42</v>
      </c>
      <c r="S774" s="202" t="s">
        <v>2</v>
      </c>
      <c r="T774" s="202">
        <f>IF(R774&gt;0,IF(RIGHT(Ruimtestaat[[#This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74" s="202">
        <f>IF(T774&gt;0,VLOOKUP($J774,Ruimtegroepen[],3,FALSE)*VLOOKUP($L774,Vloersoorten[],3,FALSE)*VLOOKUP($S774,Frequenties[],3,FALSE)*VLOOKUP($A774,Locaties[],3,FALSE),0)</f>
        <v>0</v>
      </c>
      <c r="V774" s="202">
        <f>Ruimtestaat[[#This Row],[Uitvoeringen werkdagen]]*Ruimtestaat[[#This Row],[Oppervlak (netto)]]</f>
        <v>1814.4</v>
      </c>
      <c r="W774" s="242">
        <f>IF(U774&gt;0,Ruimtestaat[[#This Row],[Prest. (m2 /jaar) werkdagen]]/Ruimtestaat[[#This Row],[Norm (m2/uur) werkdagen]],0)</f>
        <v>0</v>
      </c>
      <c r="X774" s="243">
        <f>Ruimtestaat[[#This Row],[uren / jaar werkdagen]]*Tariefsopbouw!$D$38</f>
        <v>0</v>
      </c>
      <c r="Y774" s="33"/>
      <c r="Z774" s="33">
        <f>IF(Ruimtestaat[[#This Row],[Frequentie weekend]]&gt;0,VALUE(LEFT(Y774,1))*R774,0)</f>
        <v>0</v>
      </c>
      <c r="AA774" s="33">
        <f>IF($Z774&gt;0,VLOOKUP($J774,Ruimtegroepen[],3,FALSE)*VLOOKUP($L774,Vloersoorten[],3,FALSE)*VLOOKUP($Y774,Frequenties[],3,FALSE)*VLOOKUP(#REF!,Locaties[],3,FALSE),0)</f>
        <v>0</v>
      </c>
      <c r="AB774" s="33"/>
      <c r="AC774" s="33"/>
      <c r="AD774" s="33">
        <f>Ruimtestaat[[#This Row],[uren / jaar weekend]]*Tariefsopbouw!$D$40</f>
        <v>0</v>
      </c>
      <c r="AE774" s="86">
        <f>Ruimtestaat[[#This Row],[Prest. (m2 /jaar) weekend]]+Ruimtestaat[[#This Row],[Prest. (m2 /jaar) werkdagen]]</f>
        <v>1814.4</v>
      </c>
      <c r="AF774" s="86">
        <f>Ruimtestaat[[#This Row],[uren / jaar weekend]]+Ruimtestaat[[#This Row],[uren / jaar werkdagen]]</f>
        <v>0</v>
      </c>
      <c r="AG774" s="87">
        <f>Ruimtestaat[[#This Row],[kosten / jaar weekend]]+Ruimtestaat[[#This Row],[kosten / jaar werkdagen]]</f>
        <v>0</v>
      </c>
    </row>
    <row r="775" spans="1:33" ht="15" customHeight="1">
      <c r="A775" s="187">
        <v>6</v>
      </c>
      <c r="B775" s="21" t="str">
        <f>VLOOKUP(Ruimtestaat[[#This Row],[Code]],Locaties[#All],2,FALSE)</f>
        <v>De Thij</v>
      </c>
      <c r="C775" s="247" t="str">
        <f>VLOOKUP(Ruimtestaat[[#This Row],[Code]],Locaties[#All],4,FALSE)</f>
        <v>Thijlaan 30</v>
      </c>
      <c r="D775" s="247" t="str">
        <f>VLOOKUP(Ruimtestaat[[#This Row],[Code]],Locaties[#All],5,FALSE)</f>
        <v>7576 ZB</v>
      </c>
      <c r="E775" s="187" t="str">
        <f>VLOOKUP(Ruimtestaat[[#This Row],[Code]],Locaties[#All],6,FALSE)</f>
        <v>Oldenzaal</v>
      </c>
      <c r="F775" s="248"/>
      <c r="G775" s="246">
        <v>1</v>
      </c>
      <c r="H775" s="246" t="s">
        <v>471</v>
      </c>
      <c r="I775" s="248" t="s">
        <v>647</v>
      </c>
      <c r="J775" s="187">
        <v>14</v>
      </c>
      <c r="K775" s="187" t="str">
        <f>VLOOKUP(Ruimtestaat[[#This Row],[Ruimte code]],Ruimtegroepen[#All],2,FALSE)</f>
        <v>Praktijklokalen/kabinet</v>
      </c>
      <c r="L775" s="247" t="s">
        <v>677</v>
      </c>
      <c r="M775" s="246" t="s">
        <v>270</v>
      </c>
      <c r="N775" s="200">
        <v>102.49</v>
      </c>
      <c r="O775" s="200"/>
      <c r="P775" s="231" t="str">
        <f>VLOOKUP(Ruimtestaat[[#This Row],[Ruimte code]],Ruimtegroepen[#All],4,FALSE)</f>
        <v>L  (Lesruimte)</v>
      </c>
      <c r="Q775" s="201"/>
      <c r="R775" s="202">
        <v>42</v>
      </c>
      <c r="S775" s="202" t="s">
        <v>2</v>
      </c>
      <c r="T775" s="202">
        <f>IF(R775&gt;0,IF(RIGHT(Ruimtestaat[[#This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75" s="202">
        <f>IF(T775&gt;0,VLOOKUP($J775,Ruimtegroepen[],3,FALSE)*VLOOKUP($L775,Vloersoorten[],3,FALSE)*VLOOKUP($S775,Frequenties[],3,FALSE)*VLOOKUP($A775,Locaties[],3,FALSE),0)</f>
        <v>0</v>
      </c>
      <c r="V775" s="202">
        <f>Ruimtestaat[[#This Row],[Uitvoeringen werkdagen]]*Ruimtestaat[[#This Row],[Oppervlak (netto)]]</f>
        <v>21522.899999999998</v>
      </c>
      <c r="W775" s="242">
        <f>IF(U775&gt;0,Ruimtestaat[[#This Row],[Prest. (m2 /jaar) werkdagen]]/Ruimtestaat[[#This Row],[Norm (m2/uur) werkdagen]],0)</f>
        <v>0</v>
      </c>
      <c r="X775" s="243">
        <f>Ruimtestaat[[#This Row],[uren / jaar werkdagen]]*Tariefsopbouw!$D$38</f>
        <v>0</v>
      </c>
      <c r="Y775" s="33"/>
      <c r="Z775" s="33">
        <f>IF(Ruimtestaat[[#This Row],[Frequentie weekend]]&gt;0,VALUE(LEFT(Y775,1))*R775,0)</f>
        <v>0</v>
      </c>
      <c r="AA775" s="33">
        <f>IF($Z775&gt;0,VLOOKUP($J775,Ruimtegroepen[],3,FALSE)*VLOOKUP($L775,Vloersoorten[],3,FALSE)*VLOOKUP($Y775,Frequenties[],3,FALSE)*VLOOKUP(#REF!,Locaties[],3,FALSE),0)</f>
        <v>0</v>
      </c>
      <c r="AB775" s="33"/>
      <c r="AC775" s="33"/>
      <c r="AD775" s="33">
        <f>Ruimtestaat[[#This Row],[uren / jaar weekend]]*Tariefsopbouw!$D$40</f>
        <v>0</v>
      </c>
      <c r="AE775" s="86">
        <f>Ruimtestaat[[#This Row],[Prest. (m2 /jaar) weekend]]+Ruimtestaat[[#This Row],[Prest. (m2 /jaar) werkdagen]]</f>
        <v>21522.899999999998</v>
      </c>
      <c r="AF775" s="86">
        <f>Ruimtestaat[[#This Row],[uren / jaar weekend]]+Ruimtestaat[[#This Row],[uren / jaar werkdagen]]</f>
        <v>0</v>
      </c>
      <c r="AG775" s="87">
        <f>Ruimtestaat[[#This Row],[kosten / jaar weekend]]+Ruimtestaat[[#This Row],[kosten / jaar werkdagen]]</f>
        <v>0</v>
      </c>
    </row>
    <row r="776" spans="1:33" ht="15" customHeight="1">
      <c r="A776" s="187">
        <v>6</v>
      </c>
      <c r="B776" s="21" t="str">
        <f>VLOOKUP(Ruimtestaat[[#This Row],[Code]],Locaties[#All],2,FALSE)</f>
        <v>De Thij</v>
      </c>
      <c r="C776" s="247" t="str">
        <f>VLOOKUP(Ruimtestaat[[#This Row],[Code]],Locaties[#All],4,FALSE)</f>
        <v>Thijlaan 30</v>
      </c>
      <c r="D776" s="247" t="str">
        <f>VLOOKUP(Ruimtestaat[[#This Row],[Code]],Locaties[#All],5,FALSE)</f>
        <v>7576 ZB</v>
      </c>
      <c r="E776" s="187" t="str">
        <f>VLOOKUP(Ruimtestaat[[#This Row],[Code]],Locaties[#All],6,FALSE)</f>
        <v>Oldenzaal</v>
      </c>
      <c r="F776" s="248"/>
      <c r="G776" s="246">
        <v>1</v>
      </c>
      <c r="H776" s="246" t="s">
        <v>472</v>
      </c>
      <c r="I776" s="248" t="s">
        <v>648</v>
      </c>
      <c r="J776" s="187">
        <v>14</v>
      </c>
      <c r="K776" s="187" t="str">
        <f>VLOOKUP(Ruimtestaat[[#This Row],[Ruimte code]],Ruimtegroepen[#All],2,FALSE)</f>
        <v>Praktijklokalen/kabinet</v>
      </c>
      <c r="L776" s="247" t="s">
        <v>677</v>
      </c>
      <c r="M776" s="246" t="s">
        <v>270</v>
      </c>
      <c r="N776" s="200">
        <v>68.28</v>
      </c>
      <c r="O776" s="200"/>
      <c r="P776" s="231" t="str">
        <f>VLOOKUP(Ruimtestaat[[#This Row],[Ruimte code]],Ruimtegroepen[#All],4,FALSE)</f>
        <v>L  (Lesruimte)</v>
      </c>
      <c r="Q776" s="201"/>
      <c r="R776" s="202">
        <v>42</v>
      </c>
      <c r="S776" s="202" t="s">
        <v>2</v>
      </c>
      <c r="T776" s="202">
        <f>IF(R776&gt;0,IF(RIGHT(Ruimtestaat[[#This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76" s="202">
        <f>IF(T776&gt;0,VLOOKUP($J776,Ruimtegroepen[],3,FALSE)*VLOOKUP($L776,Vloersoorten[],3,FALSE)*VLOOKUP($S776,Frequenties[],3,FALSE)*VLOOKUP($A776,Locaties[],3,FALSE),0)</f>
        <v>0</v>
      </c>
      <c r="V776" s="202">
        <f>Ruimtestaat[[#This Row],[Uitvoeringen werkdagen]]*Ruimtestaat[[#This Row],[Oppervlak (netto)]]</f>
        <v>14338.800000000001</v>
      </c>
      <c r="W776" s="242">
        <f>IF(U776&gt;0,Ruimtestaat[[#This Row],[Prest. (m2 /jaar) werkdagen]]/Ruimtestaat[[#This Row],[Norm (m2/uur) werkdagen]],0)</f>
        <v>0</v>
      </c>
      <c r="X776" s="243">
        <f>Ruimtestaat[[#This Row],[uren / jaar werkdagen]]*Tariefsopbouw!$D$38</f>
        <v>0</v>
      </c>
      <c r="Y776" s="33"/>
      <c r="Z776" s="33">
        <f>IF(Ruimtestaat[[#This Row],[Frequentie weekend]]&gt;0,VALUE(LEFT(Y776,1))*R776,0)</f>
        <v>0</v>
      </c>
      <c r="AA776" s="33">
        <f>IF($Z776&gt;0,VLOOKUP($J776,Ruimtegroepen[],3,FALSE)*VLOOKUP($L776,Vloersoorten[],3,FALSE)*VLOOKUP($Y776,Frequenties[],3,FALSE)*VLOOKUP(#REF!,Locaties[],3,FALSE),0)</f>
        <v>0</v>
      </c>
      <c r="AB776" s="33"/>
      <c r="AC776" s="33"/>
      <c r="AD776" s="33">
        <f>Ruimtestaat[[#This Row],[uren / jaar weekend]]*Tariefsopbouw!$D$40</f>
        <v>0</v>
      </c>
      <c r="AE776" s="86">
        <f>Ruimtestaat[[#This Row],[Prest. (m2 /jaar) weekend]]+Ruimtestaat[[#This Row],[Prest. (m2 /jaar) werkdagen]]</f>
        <v>14338.800000000001</v>
      </c>
      <c r="AF776" s="86">
        <f>Ruimtestaat[[#This Row],[uren / jaar weekend]]+Ruimtestaat[[#This Row],[uren / jaar werkdagen]]</f>
        <v>0</v>
      </c>
      <c r="AG776" s="87">
        <f>Ruimtestaat[[#This Row],[kosten / jaar weekend]]+Ruimtestaat[[#This Row],[kosten / jaar werkdagen]]</f>
        <v>0</v>
      </c>
    </row>
    <row r="777" spans="1:33" ht="15" customHeight="1">
      <c r="A777" s="187">
        <v>6</v>
      </c>
      <c r="B777" s="21" t="str">
        <f>VLOOKUP(Ruimtestaat[[#This Row],[Code]],Locaties[#All],2,FALSE)</f>
        <v>De Thij</v>
      </c>
      <c r="C777" s="247" t="str">
        <f>VLOOKUP(Ruimtestaat[[#This Row],[Code]],Locaties[#All],4,FALSE)</f>
        <v>Thijlaan 30</v>
      </c>
      <c r="D777" s="247" t="str">
        <f>VLOOKUP(Ruimtestaat[[#This Row],[Code]],Locaties[#All],5,FALSE)</f>
        <v>7576 ZB</v>
      </c>
      <c r="E777" s="187" t="str">
        <f>VLOOKUP(Ruimtestaat[[#This Row],[Code]],Locaties[#All],6,FALSE)</f>
        <v>Oldenzaal</v>
      </c>
      <c r="F777" s="248"/>
      <c r="G777" s="246">
        <v>1</v>
      </c>
      <c r="H777" s="246" t="s">
        <v>831</v>
      </c>
      <c r="I777" s="248" t="s">
        <v>832</v>
      </c>
      <c r="J777" s="231">
        <v>20</v>
      </c>
      <c r="K777" s="231" t="str">
        <f>VLOOKUP(Ruimtestaat[[#This Row],[Ruimte code]],Ruimtegroepen[#All],2,FALSE)</f>
        <v>Niet in onderhoud</v>
      </c>
      <c r="L777" s="247" t="s">
        <v>677</v>
      </c>
      <c r="M777" s="246" t="s">
        <v>270</v>
      </c>
      <c r="N777" s="200"/>
      <c r="O777" s="200">
        <v>6.12</v>
      </c>
      <c r="P777" s="231" t="str">
        <f>VLOOKUP(Ruimtestaat[[#This Row],[Ruimte code]],Ruimtegroepen[#All],4,FALSE)</f>
        <v>V  (Verkeersruimte)</v>
      </c>
      <c r="Q777" s="201"/>
      <c r="R777" s="202"/>
      <c r="S777" s="202"/>
      <c r="T777" s="202">
        <f>IF(R777&gt;0,IF(RIGHT(Ruimtestaat[[#This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777" s="202">
        <f>IF(T777&gt;0,VLOOKUP($J777,Ruimtegroepen[],3,FALSE)*VLOOKUP($L777,Vloersoorten[],3,FALSE)*VLOOKUP($S777,Frequenties[],3,FALSE)*VLOOKUP($A777,Locaties[],3,FALSE),0)</f>
        <v>0</v>
      </c>
      <c r="V777" s="202">
        <f>Ruimtestaat[[#This Row],[Uitvoeringen werkdagen]]*Ruimtestaat[[#This Row],[Oppervlak (netto)]]</f>
        <v>0</v>
      </c>
      <c r="W777" s="242">
        <f>IF(U777&gt;0,Ruimtestaat[[#This Row],[Prest. (m2 /jaar) werkdagen]]/Ruimtestaat[[#This Row],[Norm (m2/uur) werkdagen]],0)</f>
        <v>0</v>
      </c>
      <c r="X777" s="243">
        <f>Ruimtestaat[[#This Row],[uren / jaar werkdagen]]*Tariefsopbouw!$D$38</f>
        <v>0</v>
      </c>
      <c r="Y777" s="33"/>
      <c r="Z777" s="33">
        <f>IF(Ruimtestaat[[#This Row],[Frequentie weekend]]&gt;0,VALUE(LEFT(Y777,1))*R777,0)</f>
        <v>0</v>
      </c>
      <c r="AA777" s="33">
        <f>IF($Z777&gt;0,VLOOKUP($J777,Ruimtegroepen[],3,FALSE)*VLOOKUP($L777,Vloersoorten[],3,FALSE)*VLOOKUP($Y777,Frequenties[],3,FALSE)*VLOOKUP(#REF!,Locaties[],3,FALSE),0)</f>
        <v>0</v>
      </c>
      <c r="AB777" s="33"/>
      <c r="AC777" s="33"/>
      <c r="AD777" s="33">
        <f>Ruimtestaat[[#This Row],[uren / jaar weekend]]*Tariefsopbouw!$D$40</f>
        <v>0</v>
      </c>
      <c r="AE777" s="86">
        <f>Ruimtestaat[[#This Row],[Prest. (m2 /jaar) weekend]]+Ruimtestaat[[#This Row],[Prest. (m2 /jaar) werkdagen]]</f>
        <v>0</v>
      </c>
      <c r="AF777" s="86">
        <f>Ruimtestaat[[#This Row],[uren / jaar weekend]]+Ruimtestaat[[#This Row],[uren / jaar werkdagen]]</f>
        <v>0</v>
      </c>
      <c r="AG777" s="87">
        <f>Ruimtestaat[[#This Row],[kosten / jaar weekend]]+Ruimtestaat[[#This Row],[kosten / jaar werkdagen]]</f>
        <v>0</v>
      </c>
    </row>
    <row r="778" spans="1:33" ht="15" customHeight="1">
      <c r="A778" s="187">
        <v>6</v>
      </c>
      <c r="B778" s="21" t="str">
        <f>VLOOKUP(Ruimtestaat[[#This Row],[Code]],Locaties[#All],2,FALSE)</f>
        <v>De Thij</v>
      </c>
      <c r="C778" s="247" t="str">
        <f>VLOOKUP(Ruimtestaat[[#This Row],[Code]],Locaties[#All],4,FALSE)</f>
        <v>Thijlaan 30</v>
      </c>
      <c r="D778" s="247" t="str">
        <f>VLOOKUP(Ruimtestaat[[#This Row],[Code]],Locaties[#All],5,FALSE)</f>
        <v>7576 ZB</v>
      </c>
      <c r="E778" s="187" t="str">
        <f>VLOOKUP(Ruimtestaat[[#This Row],[Code]],Locaties[#All],6,FALSE)</f>
        <v>Oldenzaal</v>
      </c>
      <c r="F778" s="248"/>
      <c r="G778" s="246">
        <v>1</v>
      </c>
      <c r="H778" s="246" t="s">
        <v>598</v>
      </c>
      <c r="I778" s="248" t="s">
        <v>648</v>
      </c>
      <c r="J778" s="231">
        <v>14</v>
      </c>
      <c r="K778" s="231" t="str">
        <f>VLOOKUP(Ruimtestaat[[#This Row],[Ruimte code]],Ruimtegroepen[#All],2,FALSE)</f>
        <v>Praktijklokalen/kabinet</v>
      </c>
      <c r="L778" s="247" t="s">
        <v>677</v>
      </c>
      <c r="M778" s="246" t="s">
        <v>270</v>
      </c>
      <c r="N778" s="200">
        <v>70.8</v>
      </c>
      <c r="O778" s="200"/>
      <c r="P778" s="231" t="str">
        <f>VLOOKUP(Ruimtestaat[[#This Row],[Ruimte code]],Ruimtegroepen[#All],4,FALSE)</f>
        <v>L  (Lesruimte)</v>
      </c>
      <c r="Q778" s="201"/>
      <c r="R778" s="202">
        <v>42</v>
      </c>
      <c r="S778" s="202" t="s">
        <v>2</v>
      </c>
      <c r="T778" s="202">
        <f>IF(R778&gt;0,IF(RIGHT(Ruimtestaat[[#This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78" s="202">
        <f>IF(T778&gt;0,VLOOKUP($J778,Ruimtegroepen[],3,FALSE)*VLOOKUP($L778,Vloersoorten[],3,FALSE)*VLOOKUP($S778,Frequenties[],3,FALSE)*VLOOKUP($A778,Locaties[],3,FALSE),0)</f>
        <v>0</v>
      </c>
      <c r="V778" s="202">
        <f>Ruimtestaat[[#This Row],[Uitvoeringen werkdagen]]*Ruimtestaat[[#This Row],[Oppervlak (netto)]]</f>
        <v>14868</v>
      </c>
      <c r="W778" s="242">
        <f>IF(U778&gt;0,Ruimtestaat[[#This Row],[Prest. (m2 /jaar) werkdagen]]/Ruimtestaat[[#This Row],[Norm (m2/uur) werkdagen]],0)</f>
        <v>0</v>
      </c>
      <c r="X778" s="243">
        <f>Ruimtestaat[[#This Row],[uren / jaar werkdagen]]*Tariefsopbouw!$D$38</f>
        <v>0</v>
      </c>
      <c r="Y778" s="33"/>
      <c r="Z778" s="33">
        <f>IF(Ruimtestaat[[#This Row],[Frequentie weekend]]&gt;0,VALUE(LEFT(Y778,1))*R778,0)</f>
        <v>0</v>
      </c>
      <c r="AA778" s="33">
        <f>IF($Z778&gt;0,VLOOKUP($J778,Ruimtegroepen[],3,FALSE)*VLOOKUP($L778,Vloersoorten[],3,FALSE)*VLOOKUP($Y778,Frequenties[],3,FALSE)*VLOOKUP(#REF!,Locaties[],3,FALSE),0)</f>
        <v>0</v>
      </c>
      <c r="AB778" s="33"/>
      <c r="AC778" s="33"/>
      <c r="AD778" s="33">
        <f>Ruimtestaat[[#This Row],[uren / jaar weekend]]*Tariefsopbouw!$D$40</f>
        <v>0</v>
      </c>
      <c r="AE778" s="86">
        <f>Ruimtestaat[[#This Row],[Prest. (m2 /jaar) weekend]]+Ruimtestaat[[#This Row],[Prest. (m2 /jaar) werkdagen]]</f>
        <v>14868</v>
      </c>
      <c r="AF778" s="86">
        <f>Ruimtestaat[[#This Row],[uren / jaar weekend]]+Ruimtestaat[[#This Row],[uren / jaar werkdagen]]</f>
        <v>0</v>
      </c>
      <c r="AG778" s="87">
        <f>Ruimtestaat[[#This Row],[kosten / jaar weekend]]+Ruimtestaat[[#This Row],[kosten / jaar werkdagen]]</f>
        <v>0</v>
      </c>
    </row>
    <row r="779" spans="1:33" ht="15" customHeight="1">
      <c r="A779" s="187">
        <v>6</v>
      </c>
      <c r="B779" s="21" t="str">
        <f>VLOOKUP(Ruimtestaat[[#This Row],[Code]],Locaties[#All],2,FALSE)</f>
        <v>De Thij</v>
      </c>
      <c r="C779" s="247" t="str">
        <f>VLOOKUP(Ruimtestaat[[#This Row],[Code]],Locaties[#All],4,FALSE)</f>
        <v>Thijlaan 30</v>
      </c>
      <c r="D779" s="247" t="str">
        <f>VLOOKUP(Ruimtestaat[[#This Row],[Code]],Locaties[#All],5,FALSE)</f>
        <v>7576 ZB</v>
      </c>
      <c r="E779" s="187" t="str">
        <f>VLOOKUP(Ruimtestaat[[#This Row],[Code]],Locaties[#All],6,FALSE)</f>
        <v>Oldenzaal</v>
      </c>
      <c r="F779" s="248"/>
      <c r="G779" s="246">
        <v>1</v>
      </c>
      <c r="H779" s="246" t="s">
        <v>474</v>
      </c>
      <c r="I779" s="248" t="s">
        <v>648</v>
      </c>
      <c r="J779" s="187">
        <v>14</v>
      </c>
      <c r="K779" s="187" t="str">
        <f>VLOOKUP(Ruimtestaat[[#This Row],[Ruimte code]],Ruimtegroepen[#All],2,FALSE)</f>
        <v>Praktijklokalen/kabinet</v>
      </c>
      <c r="L779" s="247" t="s">
        <v>677</v>
      </c>
      <c r="M779" s="246" t="s">
        <v>270</v>
      </c>
      <c r="N779" s="200">
        <v>78.2</v>
      </c>
      <c r="O779" s="200"/>
      <c r="P779" s="231" t="str">
        <f>VLOOKUP(Ruimtestaat[[#This Row],[Ruimte code]],Ruimtegroepen[#All],4,FALSE)</f>
        <v>L  (Lesruimte)</v>
      </c>
      <c r="Q779" s="201"/>
      <c r="R779" s="202">
        <v>42</v>
      </c>
      <c r="S779" s="202" t="s">
        <v>2</v>
      </c>
      <c r="T779" s="202">
        <f>IF(R779&gt;0,IF(RIGHT(Ruimtestaat[[#This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79" s="202">
        <f>IF(T779&gt;0,VLOOKUP($J779,Ruimtegroepen[],3,FALSE)*VLOOKUP($L779,Vloersoorten[],3,FALSE)*VLOOKUP($S779,Frequenties[],3,FALSE)*VLOOKUP($A779,Locaties[],3,FALSE),0)</f>
        <v>0</v>
      </c>
      <c r="V779" s="202">
        <f>Ruimtestaat[[#This Row],[Uitvoeringen werkdagen]]*Ruimtestaat[[#This Row],[Oppervlak (netto)]]</f>
        <v>16422</v>
      </c>
      <c r="W779" s="242">
        <f>IF(U779&gt;0,Ruimtestaat[[#This Row],[Prest. (m2 /jaar) werkdagen]]/Ruimtestaat[[#This Row],[Norm (m2/uur) werkdagen]],0)</f>
        <v>0</v>
      </c>
      <c r="X779" s="243">
        <f>Ruimtestaat[[#This Row],[uren / jaar werkdagen]]*Tariefsopbouw!$D$38</f>
        <v>0</v>
      </c>
      <c r="Y779" s="33"/>
      <c r="Z779" s="33">
        <f>IF(Ruimtestaat[[#This Row],[Frequentie weekend]]&gt;0,VALUE(LEFT(Y779,1))*R779,0)</f>
        <v>0</v>
      </c>
      <c r="AA779" s="33">
        <f>IF($Z779&gt;0,VLOOKUP($J779,Ruimtegroepen[],3,FALSE)*VLOOKUP($L779,Vloersoorten[],3,FALSE)*VLOOKUP($Y779,Frequenties[],3,FALSE)*VLOOKUP(#REF!,Locaties[],3,FALSE),0)</f>
        <v>0</v>
      </c>
      <c r="AB779" s="33"/>
      <c r="AC779" s="33"/>
      <c r="AD779" s="33">
        <f>Ruimtestaat[[#This Row],[uren / jaar weekend]]*Tariefsopbouw!$D$40</f>
        <v>0</v>
      </c>
      <c r="AE779" s="86">
        <f>Ruimtestaat[[#This Row],[Prest. (m2 /jaar) weekend]]+Ruimtestaat[[#This Row],[Prest. (m2 /jaar) werkdagen]]</f>
        <v>16422</v>
      </c>
      <c r="AF779" s="86">
        <f>Ruimtestaat[[#This Row],[uren / jaar weekend]]+Ruimtestaat[[#This Row],[uren / jaar werkdagen]]</f>
        <v>0</v>
      </c>
      <c r="AG779" s="87">
        <f>Ruimtestaat[[#This Row],[kosten / jaar weekend]]+Ruimtestaat[[#This Row],[kosten / jaar werkdagen]]</f>
        <v>0</v>
      </c>
    </row>
    <row r="780" spans="1:33" ht="15" customHeight="1">
      <c r="A780" s="187">
        <v>6</v>
      </c>
      <c r="B780" s="21" t="str">
        <f>VLOOKUP(Ruimtestaat[[#This Row],[Code]],Locaties[#All],2,FALSE)</f>
        <v>De Thij</v>
      </c>
      <c r="C780" s="247" t="str">
        <f>VLOOKUP(Ruimtestaat[[#This Row],[Code]],Locaties[#All],4,FALSE)</f>
        <v>Thijlaan 30</v>
      </c>
      <c r="D780" s="247" t="str">
        <f>VLOOKUP(Ruimtestaat[[#This Row],[Code]],Locaties[#All],5,FALSE)</f>
        <v>7576 ZB</v>
      </c>
      <c r="E780" s="187" t="str">
        <f>VLOOKUP(Ruimtestaat[[#This Row],[Code]],Locaties[#All],6,FALSE)</f>
        <v>Oldenzaal</v>
      </c>
      <c r="F780" s="248"/>
      <c r="G780" s="246">
        <v>1</v>
      </c>
      <c r="H780" s="246" t="s">
        <v>475</v>
      </c>
      <c r="I780" s="248" t="s">
        <v>833</v>
      </c>
      <c r="J780" s="187">
        <v>14</v>
      </c>
      <c r="K780" s="187" t="str">
        <f>VLOOKUP(Ruimtestaat[[#This Row],[Ruimte code]],Ruimtegroepen[#All],2,FALSE)</f>
        <v>Praktijklokalen/kabinet</v>
      </c>
      <c r="L780" s="247" t="s">
        <v>677</v>
      </c>
      <c r="M780" s="246" t="s">
        <v>270</v>
      </c>
      <c r="N780" s="200">
        <v>52.16</v>
      </c>
      <c r="O780" s="200"/>
      <c r="P780" s="231" t="str">
        <f>VLOOKUP(Ruimtestaat[[#This Row],[Ruimte code]],Ruimtegroepen[#All],4,FALSE)</f>
        <v>L  (Lesruimte)</v>
      </c>
      <c r="Q780" s="201"/>
      <c r="R780" s="202">
        <v>42</v>
      </c>
      <c r="S780" s="202" t="s">
        <v>2</v>
      </c>
      <c r="T780" s="202">
        <f>IF(R780&gt;0,IF(RIGHT(Ruimtestaat[[#This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80" s="202">
        <f>IF(T780&gt;0,VLOOKUP($J780,Ruimtegroepen[],3,FALSE)*VLOOKUP($L780,Vloersoorten[],3,FALSE)*VLOOKUP($S780,Frequenties[],3,FALSE)*VLOOKUP($A780,Locaties[],3,FALSE),0)</f>
        <v>0</v>
      </c>
      <c r="V780" s="202">
        <f>Ruimtestaat[[#This Row],[Uitvoeringen werkdagen]]*Ruimtestaat[[#This Row],[Oppervlak (netto)]]</f>
        <v>10953.599999999999</v>
      </c>
      <c r="W780" s="242">
        <f>IF(U780&gt;0,Ruimtestaat[[#This Row],[Prest. (m2 /jaar) werkdagen]]/Ruimtestaat[[#This Row],[Norm (m2/uur) werkdagen]],0)</f>
        <v>0</v>
      </c>
      <c r="X780" s="243">
        <f>Ruimtestaat[[#This Row],[uren / jaar werkdagen]]*Tariefsopbouw!$D$38</f>
        <v>0</v>
      </c>
      <c r="Y780" s="33"/>
      <c r="Z780" s="33">
        <f>IF(Ruimtestaat[[#This Row],[Frequentie weekend]]&gt;0,VALUE(LEFT(Y780,1))*R780,0)</f>
        <v>0</v>
      </c>
      <c r="AA780" s="33">
        <f>IF($Z780&gt;0,VLOOKUP($J780,Ruimtegroepen[],3,FALSE)*VLOOKUP($L780,Vloersoorten[],3,FALSE)*VLOOKUP($Y780,Frequenties[],3,FALSE)*VLOOKUP(#REF!,Locaties[],3,FALSE),0)</f>
        <v>0</v>
      </c>
      <c r="AB780" s="33"/>
      <c r="AC780" s="33"/>
      <c r="AD780" s="33">
        <f>Ruimtestaat[[#This Row],[uren / jaar weekend]]*Tariefsopbouw!$D$40</f>
        <v>0</v>
      </c>
      <c r="AE780" s="86">
        <f>Ruimtestaat[[#This Row],[Prest. (m2 /jaar) weekend]]+Ruimtestaat[[#This Row],[Prest. (m2 /jaar) werkdagen]]</f>
        <v>10953.599999999999</v>
      </c>
      <c r="AF780" s="86">
        <f>Ruimtestaat[[#This Row],[uren / jaar weekend]]+Ruimtestaat[[#This Row],[uren / jaar werkdagen]]</f>
        <v>0</v>
      </c>
      <c r="AG780" s="87">
        <f>Ruimtestaat[[#This Row],[kosten / jaar weekend]]+Ruimtestaat[[#This Row],[kosten / jaar werkdagen]]</f>
        <v>0</v>
      </c>
    </row>
    <row r="781" spans="1:33" ht="15" customHeight="1">
      <c r="A781" s="187">
        <v>6</v>
      </c>
      <c r="B781" s="21" t="str">
        <f>VLOOKUP(Ruimtestaat[[#This Row],[Code]],Locaties[#All],2,FALSE)</f>
        <v>De Thij</v>
      </c>
      <c r="C781" s="247" t="str">
        <f>VLOOKUP(Ruimtestaat[[#This Row],[Code]],Locaties[#All],4,FALSE)</f>
        <v>Thijlaan 30</v>
      </c>
      <c r="D781" s="247" t="str">
        <f>VLOOKUP(Ruimtestaat[[#This Row],[Code]],Locaties[#All],5,FALSE)</f>
        <v>7576 ZB</v>
      </c>
      <c r="E781" s="187" t="str">
        <f>VLOOKUP(Ruimtestaat[[#This Row],[Code]],Locaties[#All],6,FALSE)</f>
        <v>Oldenzaal</v>
      </c>
      <c r="F781" s="248"/>
      <c r="G781" s="246">
        <v>1</v>
      </c>
      <c r="H781" s="246" t="s">
        <v>834</v>
      </c>
      <c r="I781" s="248" t="s">
        <v>835</v>
      </c>
      <c r="J781" s="187">
        <v>1</v>
      </c>
      <c r="K781" s="187" t="str">
        <f>VLOOKUP(Ruimtestaat[[#This Row],[Ruimte code]],Ruimtegroepen[#All],2,FALSE)</f>
        <v>Magazijnen/bergingen</v>
      </c>
      <c r="L781" s="247" t="s">
        <v>677</v>
      </c>
      <c r="M781" s="246" t="s">
        <v>270</v>
      </c>
      <c r="N781" s="200">
        <v>6.12</v>
      </c>
      <c r="O781" s="200"/>
      <c r="P781" s="231" t="str">
        <f>VLOOKUP(Ruimtestaat[[#This Row],[Ruimte code]],Ruimtegroepen[#All],4,FALSE)</f>
        <v>V  (Verkeersruimte)</v>
      </c>
      <c r="Q781" s="201"/>
      <c r="R781" s="202">
        <v>42</v>
      </c>
      <c r="S781" s="202" t="s">
        <v>15</v>
      </c>
      <c r="T781" s="202">
        <f>IF(R781&gt;0,IF(RIGHT(Ruimtestaat[[#This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781" s="202">
        <f>IF(T781&gt;0,VLOOKUP($J781,Ruimtegroepen[],3,FALSE)*VLOOKUP($L781,Vloersoorten[],3,FALSE)*VLOOKUP($S781,Frequenties[],3,FALSE)*VLOOKUP($A781,Locaties[],3,FALSE),0)</f>
        <v>0</v>
      </c>
      <c r="V781" s="202">
        <f>Ruimtestaat[[#This Row],[Uitvoeringen werkdagen]]*Ruimtestaat[[#This Row],[Oppervlak (netto)]]</f>
        <v>257.04000000000002</v>
      </c>
      <c r="W781" s="242">
        <f>IF(U781&gt;0,Ruimtestaat[[#This Row],[Prest. (m2 /jaar) werkdagen]]/Ruimtestaat[[#This Row],[Norm (m2/uur) werkdagen]],0)</f>
        <v>0</v>
      </c>
      <c r="X781" s="243">
        <f>Ruimtestaat[[#This Row],[uren / jaar werkdagen]]*Tariefsopbouw!$D$38</f>
        <v>0</v>
      </c>
      <c r="Y781" s="33"/>
      <c r="Z781" s="33">
        <f>IF(Ruimtestaat[[#This Row],[Frequentie weekend]]&gt;0,VALUE(LEFT(Y781,1))*R781,0)</f>
        <v>0</v>
      </c>
      <c r="AA781" s="33">
        <f>IF($Z781&gt;0,VLOOKUP($J781,Ruimtegroepen[],3,FALSE)*VLOOKUP($L781,Vloersoorten[],3,FALSE)*VLOOKUP($Y781,Frequenties[],3,FALSE)*VLOOKUP(#REF!,Locaties[],3,FALSE),0)</f>
        <v>0</v>
      </c>
      <c r="AB781" s="33"/>
      <c r="AC781" s="33"/>
      <c r="AD781" s="33">
        <f>Ruimtestaat[[#This Row],[uren / jaar weekend]]*Tariefsopbouw!$D$40</f>
        <v>0</v>
      </c>
      <c r="AE781" s="86">
        <f>Ruimtestaat[[#This Row],[Prest. (m2 /jaar) weekend]]+Ruimtestaat[[#This Row],[Prest. (m2 /jaar) werkdagen]]</f>
        <v>257.04000000000002</v>
      </c>
      <c r="AF781" s="86">
        <f>Ruimtestaat[[#This Row],[uren / jaar weekend]]+Ruimtestaat[[#This Row],[uren / jaar werkdagen]]</f>
        <v>0</v>
      </c>
      <c r="AG781" s="87">
        <f>Ruimtestaat[[#This Row],[kosten / jaar weekend]]+Ruimtestaat[[#This Row],[kosten / jaar werkdagen]]</f>
        <v>0</v>
      </c>
    </row>
    <row r="782" spans="1:33" ht="15" customHeight="1">
      <c r="A782" s="187">
        <v>6</v>
      </c>
      <c r="B782" s="21" t="str">
        <f>VLOOKUP(Ruimtestaat[[#This Row],[Code]],Locaties[#All],2,FALSE)</f>
        <v>De Thij</v>
      </c>
      <c r="C782" s="247" t="str">
        <f>VLOOKUP(Ruimtestaat[[#This Row],[Code]],Locaties[#All],4,FALSE)</f>
        <v>Thijlaan 30</v>
      </c>
      <c r="D782" s="247" t="str">
        <f>VLOOKUP(Ruimtestaat[[#This Row],[Code]],Locaties[#All],5,FALSE)</f>
        <v>7576 ZB</v>
      </c>
      <c r="E782" s="187" t="str">
        <f>VLOOKUP(Ruimtestaat[[#This Row],[Code]],Locaties[#All],6,FALSE)</f>
        <v>Oldenzaal</v>
      </c>
      <c r="F782" s="248"/>
      <c r="G782" s="246">
        <v>1</v>
      </c>
      <c r="H782" s="246" t="s">
        <v>477</v>
      </c>
      <c r="I782" s="248" t="s">
        <v>836</v>
      </c>
      <c r="J782" s="187">
        <v>2</v>
      </c>
      <c r="K782" s="187" t="str">
        <f>VLOOKUP(Ruimtestaat[[#This Row],[Ruimte code]],Ruimtegroepen[#All],2,FALSE)</f>
        <v>Kantoren/kantoortuin</v>
      </c>
      <c r="L782" s="247" t="s">
        <v>677</v>
      </c>
      <c r="M782" s="246" t="s">
        <v>270</v>
      </c>
      <c r="N782" s="200">
        <v>17.02</v>
      </c>
      <c r="O782" s="200"/>
      <c r="P782" s="231" t="str">
        <f>VLOOKUP(Ruimtestaat[[#This Row],[Ruimte code]],Ruimtegroepen[#All],4,FALSE)</f>
        <v>B  (Bureauruimte)</v>
      </c>
      <c r="Q782" s="201"/>
      <c r="R782" s="202">
        <v>42</v>
      </c>
      <c r="S782" s="202" t="s">
        <v>2</v>
      </c>
      <c r="T782" s="202">
        <f>IF(R782&gt;0,IF(RIGHT(Ruimtestaat[[#This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82" s="202">
        <f>IF(T782&gt;0,VLOOKUP($J782,Ruimtegroepen[],3,FALSE)*VLOOKUP($L782,Vloersoorten[],3,FALSE)*VLOOKUP($S782,Frequenties[],3,FALSE)*VLOOKUP($A782,Locaties[],3,FALSE),0)</f>
        <v>0</v>
      </c>
      <c r="V782" s="202">
        <f>Ruimtestaat[[#This Row],[Uitvoeringen werkdagen]]*Ruimtestaat[[#This Row],[Oppervlak (netto)]]</f>
        <v>3574.2</v>
      </c>
      <c r="W782" s="242">
        <f>IF(U782&gt;0,Ruimtestaat[[#This Row],[Prest. (m2 /jaar) werkdagen]]/Ruimtestaat[[#This Row],[Norm (m2/uur) werkdagen]],0)</f>
        <v>0</v>
      </c>
      <c r="X782" s="243">
        <f>Ruimtestaat[[#This Row],[uren / jaar werkdagen]]*Tariefsopbouw!$D$38</f>
        <v>0</v>
      </c>
      <c r="Y782" s="33"/>
      <c r="Z782" s="33">
        <f>IF(Ruimtestaat[[#This Row],[Frequentie weekend]]&gt;0,VALUE(LEFT(Y782,1))*R782,0)</f>
        <v>0</v>
      </c>
      <c r="AA782" s="33">
        <f>IF($Z782&gt;0,VLOOKUP($J782,Ruimtegroepen[],3,FALSE)*VLOOKUP($L782,Vloersoorten[],3,FALSE)*VLOOKUP($Y782,Frequenties[],3,FALSE)*VLOOKUP(#REF!,Locaties[],3,FALSE),0)</f>
        <v>0</v>
      </c>
      <c r="AB782" s="33"/>
      <c r="AC782" s="33"/>
      <c r="AD782" s="33">
        <f>Ruimtestaat[[#This Row],[uren / jaar weekend]]*Tariefsopbouw!$D$40</f>
        <v>0</v>
      </c>
      <c r="AE782" s="86">
        <f>Ruimtestaat[[#This Row],[Prest. (m2 /jaar) weekend]]+Ruimtestaat[[#This Row],[Prest. (m2 /jaar) werkdagen]]</f>
        <v>3574.2</v>
      </c>
      <c r="AF782" s="86">
        <f>Ruimtestaat[[#This Row],[uren / jaar weekend]]+Ruimtestaat[[#This Row],[uren / jaar werkdagen]]</f>
        <v>0</v>
      </c>
      <c r="AG782" s="87">
        <f>Ruimtestaat[[#This Row],[kosten / jaar weekend]]+Ruimtestaat[[#This Row],[kosten / jaar werkdagen]]</f>
        <v>0</v>
      </c>
    </row>
    <row r="783" spans="1:33" ht="15" customHeight="1">
      <c r="A783" s="187">
        <v>6</v>
      </c>
      <c r="B783" s="21" t="str">
        <f>VLOOKUP(Ruimtestaat[[#This Row],[Code]],Locaties[#All],2,FALSE)</f>
        <v>De Thij</v>
      </c>
      <c r="C783" s="247" t="str">
        <f>VLOOKUP(Ruimtestaat[[#This Row],[Code]],Locaties[#All],4,FALSE)</f>
        <v>Thijlaan 30</v>
      </c>
      <c r="D783" s="247" t="str">
        <f>VLOOKUP(Ruimtestaat[[#This Row],[Code]],Locaties[#All],5,FALSE)</f>
        <v>7576 ZB</v>
      </c>
      <c r="E783" s="187" t="str">
        <f>VLOOKUP(Ruimtestaat[[#This Row],[Code]],Locaties[#All],6,FALSE)</f>
        <v>Oldenzaal</v>
      </c>
      <c r="F783" s="248"/>
      <c r="G783" s="246">
        <v>1</v>
      </c>
      <c r="H783" s="246" t="s">
        <v>478</v>
      </c>
      <c r="I783" s="248" t="s">
        <v>837</v>
      </c>
      <c r="J783" s="202">
        <v>14</v>
      </c>
      <c r="K783" s="202" t="str">
        <f>VLOOKUP(Ruimtestaat[[#This Row],[Ruimte code]],Ruimtegroepen[#All],2,FALSE)</f>
        <v>Praktijklokalen/kabinet</v>
      </c>
      <c r="L783" s="247" t="s">
        <v>677</v>
      </c>
      <c r="M783" s="246" t="s">
        <v>270</v>
      </c>
      <c r="N783" s="200">
        <v>49.51</v>
      </c>
      <c r="O783" s="200"/>
      <c r="P783" s="231" t="str">
        <f>VLOOKUP(Ruimtestaat[[#This Row],[Ruimte code]],Ruimtegroepen[#All],4,FALSE)</f>
        <v>L  (Lesruimte)</v>
      </c>
      <c r="Q783" s="201"/>
      <c r="R783" s="202">
        <v>42</v>
      </c>
      <c r="S783" s="202" t="s">
        <v>2</v>
      </c>
      <c r="T783" s="202">
        <f>IF(R783&gt;0,IF(RIGHT(Ruimtestaat[[#This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83" s="202">
        <f>IF(T783&gt;0,VLOOKUP($J783,Ruimtegroepen[],3,FALSE)*VLOOKUP($L783,Vloersoorten[],3,FALSE)*VLOOKUP($S783,Frequenties[],3,FALSE)*VLOOKUP($A783,Locaties[],3,FALSE),0)</f>
        <v>0</v>
      </c>
      <c r="V783" s="202">
        <f>Ruimtestaat[[#This Row],[Uitvoeringen werkdagen]]*Ruimtestaat[[#This Row],[Oppervlak (netto)]]</f>
        <v>10397.1</v>
      </c>
      <c r="W783" s="242">
        <f>IF(U783&gt;0,Ruimtestaat[[#This Row],[Prest. (m2 /jaar) werkdagen]]/Ruimtestaat[[#This Row],[Norm (m2/uur) werkdagen]],0)</f>
        <v>0</v>
      </c>
      <c r="X783" s="243">
        <f>Ruimtestaat[[#This Row],[uren / jaar werkdagen]]*Tariefsopbouw!$D$38</f>
        <v>0</v>
      </c>
      <c r="Y783" s="33"/>
      <c r="Z783" s="33">
        <f>IF(Ruimtestaat[[#This Row],[Frequentie weekend]]&gt;0,VALUE(LEFT(Y783,1))*R783,0)</f>
        <v>0</v>
      </c>
      <c r="AA783" s="33">
        <f>IF($Z783&gt;0,VLOOKUP($J783,Ruimtegroepen[],3,FALSE)*VLOOKUP($L783,Vloersoorten[],3,FALSE)*VLOOKUP($Y783,Frequenties[],3,FALSE)*VLOOKUP(#REF!,Locaties[],3,FALSE),0)</f>
        <v>0</v>
      </c>
      <c r="AB783" s="33"/>
      <c r="AC783" s="33"/>
      <c r="AD783" s="33">
        <f>Ruimtestaat[[#This Row],[uren / jaar weekend]]*Tariefsopbouw!$D$40</f>
        <v>0</v>
      </c>
      <c r="AE783" s="86">
        <f>Ruimtestaat[[#This Row],[Prest. (m2 /jaar) weekend]]+Ruimtestaat[[#This Row],[Prest. (m2 /jaar) werkdagen]]</f>
        <v>10397.1</v>
      </c>
      <c r="AF783" s="86">
        <f>Ruimtestaat[[#This Row],[uren / jaar weekend]]+Ruimtestaat[[#This Row],[uren / jaar werkdagen]]</f>
        <v>0</v>
      </c>
      <c r="AG783" s="87">
        <f>Ruimtestaat[[#This Row],[kosten / jaar weekend]]+Ruimtestaat[[#This Row],[kosten / jaar werkdagen]]</f>
        <v>0</v>
      </c>
    </row>
    <row r="784" spans="1:33" ht="15" customHeight="1">
      <c r="A784" s="187">
        <v>6</v>
      </c>
      <c r="B784" s="21" t="str">
        <f>VLOOKUP(Ruimtestaat[[#This Row],[Code]],Locaties[#All],2,FALSE)</f>
        <v>De Thij</v>
      </c>
      <c r="C784" s="247" t="str">
        <f>VLOOKUP(Ruimtestaat[[#This Row],[Code]],Locaties[#All],4,FALSE)</f>
        <v>Thijlaan 30</v>
      </c>
      <c r="D784" s="247" t="str">
        <f>VLOOKUP(Ruimtestaat[[#This Row],[Code]],Locaties[#All],5,FALSE)</f>
        <v>7576 ZB</v>
      </c>
      <c r="E784" s="187" t="str">
        <f>VLOOKUP(Ruimtestaat[[#This Row],[Code]],Locaties[#All],6,FALSE)</f>
        <v>Oldenzaal</v>
      </c>
      <c r="F784" s="248"/>
      <c r="G784" s="246">
        <v>1</v>
      </c>
      <c r="H784" s="246" t="s">
        <v>479</v>
      </c>
      <c r="I784" s="248" t="s">
        <v>838</v>
      </c>
      <c r="J784" s="247">
        <v>14</v>
      </c>
      <c r="K784" s="247" t="str">
        <f>VLOOKUP(Ruimtestaat[[#This Row],[Ruimte code]],Ruimtegroepen[#All],2,FALSE)</f>
        <v>Praktijklokalen/kabinet</v>
      </c>
      <c r="L784" s="247" t="s">
        <v>677</v>
      </c>
      <c r="M784" s="246" t="s">
        <v>270</v>
      </c>
      <c r="N784" s="200">
        <v>54.6</v>
      </c>
      <c r="O784" s="200"/>
      <c r="P784" s="231" t="str">
        <f>VLOOKUP(Ruimtestaat[[#This Row],[Ruimte code]],Ruimtegroepen[#All],4,FALSE)</f>
        <v>L  (Lesruimte)</v>
      </c>
      <c r="Q784" s="201"/>
      <c r="R784" s="202">
        <v>42</v>
      </c>
      <c r="S784" s="202" t="s">
        <v>2</v>
      </c>
      <c r="T784" s="202">
        <f>IF(R784&gt;0,IF(RIGHT(Ruimtestaat[[#This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84" s="202">
        <f>IF(T784&gt;0,VLOOKUP($J784,Ruimtegroepen[],3,FALSE)*VLOOKUP($L784,Vloersoorten[],3,FALSE)*VLOOKUP($S784,Frequenties[],3,FALSE)*VLOOKUP($A784,Locaties[],3,FALSE),0)</f>
        <v>0</v>
      </c>
      <c r="V784" s="202">
        <f>Ruimtestaat[[#This Row],[Uitvoeringen werkdagen]]*Ruimtestaat[[#This Row],[Oppervlak (netto)]]</f>
        <v>11466</v>
      </c>
      <c r="W784" s="242">
        <f>IF(U784&gt;0,Ruimtestaat[[#This Row],[Prest. (m2 /jaar) werkdagen]]/Ruimtestaat[[#This Row],[Norm (m2/uur) werkdagen]],0)</f>
        <v>0</v>
      </c>
      <c r="X784" s="243">
        <f>Ruimtestaat[[#This Row],[uren / jaar werkdagen]]*Tariefsopbouw!$D$38</f>
        <v>0</v>
      </c>
      <c r="Y784" s="33"/>
      <c r="Z784" s="33">
        <f>IF(Ruimtestaat[[#This Row],[Frequentie weekend]]&gt;0,VALUE(LEFT(Y784,1))*R784,0)</f>
        <v>0</v>
      </c>
      <c r="AA784" s="33">
        <f>IF($Z784&gt;0,VLOOKUP($J784,Ruimtegroepen[],3,FALSE)*VLOOKUP($L784,Vloersoorten[],3,FALSE)*VLOOKUP($Y784,Frequenties[],3,FALSE)*VLOOKUP(#REF!,Locaties[],3,FALSE),0)</f>
        <v>0</v>
      </c>
      <c r="AB784" s="33"/>
      <c r="AC784" s="33"/>
      <c r="AD784" s="33">
        <f>Ruimtestaat[[#This Row],[uren / jaar weekend]]*Tariefsopbouw!$D$40</f>
        <v>0</v>
      </c>
      <c r="AE784" s="86">
        <f>Ruimtestaat[[#This Row],[Prest. (m2 /jaar) weekend]]+Ruimtestaat[[#This Row],[Prest. (m2 /jaar) werkdagen]]</f>
        <v>11466</v>
      </c>
      <c r="AF784" s="86">
        <f>Ruimtestaat[[#This Row],[uren / jaar weekend]]+Ruimtestaat[[#This Row],[uren / jaar werkdagen]]</f>
        <v>0</v>
      </c>
      <c r="AG784" s="87">
        <f>Ruimtestaat[[#This Row],[kosten / jaar weekend]]+Ruimtestaat[[#This Row],[kosten / jaar werkdagen]]</f>
        <v>0</v>
      </c>
    </row>
    <row r="785" spans="1:33" ht="15" customHeight="1">
      <c r="A785" s="187">
        <v>6</v>
      </c>
      <c r="B785" s="21" t="str">
        <f>VLOOKUP(Ruimtestaat[[#This Row],[Code]],Locaties[#All],2,FALSE)</f>
        <v>De Thij</v>
      </c>
      <c r="C785" s="247" t="str">
        <f>VLOOKUP(Ruimtestaat[[#This Row],[Code]],Locaties[#All],4,FALSE)</f>
        <v>Thijlaan 30</v>
      </c>
      <c r="D785" s="247" t="str">
        <f>VLOOKUP(Ruimtestaat[[#This Row],[Code]],Locaties[#All],5,FALSE)</f>
        <v>7576 ZB</v>
      </c>
      <c r="E785" s="187" t="str">
        <f>VLOOKUP(Ruimtestaat[[#This Row],[Code]],Locaties[#All],6,FALSE)</f>
        <v>Oldenzaal</v>
      </c>
      <c r="F785" s="248"/>
      <c r="G785" s="246">
        <v>1</v>
      </c>
      <c r="H785" s="246" t="s">
        <v>481</v>
      </c>
      <c r="I785" s="248" t="s">
        <v>839</v>
      </c>
      <c r="J785" s="247">
        <v>1</v>
      </c>
      <c r="K785" s="247" t="str">
        <f>VLOOKUP(Ruimtestaat[[#This Row],[Ruimte code]],Ruimtegroepen[#All],2,FALSE)</f>
        <v>Magazijnen/bergingen</v>
      </c>
      <c r="L785" s="247" t="s">
        <v>677</v>
      </c>
      <c r="M785" s="246" t="s">
        <v>270</v>
      </c>
      <c r="N785" s="200">
        <v>40</v>
      </c>
      <c r="O785" s="200"/>
      <c r="P785" s="231" t="str">
        <f>VLOOKUP(Ruimtestaat[[#This Row],[Ruimte code]],Ruimtegroepen[#All],4,FALSE)</f>
        <v>V  (Verkeersruimte)</v>
      </c>
      <c r="Q785" s="201"/>
      <c r="R785" s="202">
        <v>42</v>
      </c>
      <c r="S785" s="202" t="s">
        <v>15</v>
      </c>
      <c r="T785" s="202">
        <f>IF(R785&gt;0,IF(RIGHT(Ruimtestaat[[#This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785" s="202">
        <f>IF(T785&gt;0,VLOOKUP($J785,Ruimtegroepen[],3,FALSE)*VLOOKUP($L785,Vloersoorten[],3,FALSE)*VLOOKUP($S785,Frequenties[],3,FALSE)*VLOOKUP($A785,Locaties[],3,FALSE),0)</f>
        <v>0</v>
      </c>
      <c r="V785" s="202">
        <f>Ruimtestaat[[#This Row],[Uitvoeringen werkdagen]]*Ruimtestaat[[#This Row],[Oppervlak (netto)]]</f>
        <v>1680</v>
      </c>
      <c r="W785" s="242">
        <f>IF(U785&gt;0,Ruimtestaat[[#This Row],[Prest. (m2 /jaar) werkdagen]]/Ruimtestaat[[#This Row],[Norm (m2/uur) werkdagen]],0)</f>
        <v>0</v>
      </c>
      <c r="X785" s="243">
        <f>Ruimtestaat[[#This Row],[uren / jaar werkdagen]]*Tariefsopbouw!$D$38</f>
        <v>0</v>
      </c>
      <c r="Y785" s="33"/>
      <c r="Z785" s="33">
        <f>IF(Ruimtestaat[[#This Row],[Frequentie weekend]]&gt;0,VALUE(LEFT(Y785,1))*R785,0)</f>
        <v>0</v>
      </c>
      <c r="AA785" s="33">
        <f>IF($Z785&gt;0,VLOOKUP($J785,Ruimtegroepen[],3,FALSE)*VLOOKUP($L785,Vloersoorten[],3,FALSE)*VLOOKUP($Y785,Frequenties[],3,FALSE)*VLOOKUP(#REF!,Locaties[],3,FALSE),0)</f>
        <v>0</v>
      </c>
      <c r="AB785" s="33"/>
      <c r="AC785" s="33"/>
      <c r="AD785" s="33">
        <f>Ruimtestaat[[#This Row],[uren / jaar weekend]]*Tariefsopbouw!$D$40</f>
        <v>0</v>
      </c>
      <c r="AE785" s="86">
        <f>Ruimtestaat[[#This Row],[Prest. (m2 /jaar) weekend]]+Ruimtestaat[[#This Row],[Prest. (m2 /jaar) werkdagen]]</f>
        <v>1680</v>
      </c>
      <c r="AF785" s="86">
        <f>Ruimtestaat[[#This Row],[uren / jaar weekend]]+Ruimtestaat[[#This Row],[uren / jaar werkdagen]]</f>
        <v>0</v>
      </c>
      <c r="AG785" s="87">
        <f>Ruimtestaat[[#This Row],[kosten / jaar weekend]]+Ruimtestaat[[#This Row],[kosten / jaar werkdagen]]</f>
        <v>0</v>
      </c>
    </row>
    <row r="786" spans="1:33" ht="15" customHeight="1">
      <c r="A786" s="187">
        <v>6</v>
      </c>
      <c r="B786" s="21" t="str">
        <f>VLOOKUP(Ruimtestaat[[#This Row],[Code]],Locaties[#All],2,FALSE)</f>
        <v>De Thij</v>
      </c>
      <c r="C786" s="247" t="str">
        <f>VLOOKUP(Ruimtestaat[[#This Row],[Code]],Locaties[#All],4,FALSE)</f>
        <v>Thijlaan 30</v>
      </c>
      <c r="D786" s="247" t="str">
        <f>VLOOKUP(Ruimtestaat[[#This Row],[Code]],Locaties[#All],5,FALSE)</f>
        <v>7576 ZB</v>
      </c>
      <c r="E786" s="187" t="str">
        <f>VLOOKUP(Ruimtestaat[[#This Row],[Code]],Locaties[#All],6,FALSE)</f>
        <v>Oldenzaal</v>
      </c>
      <c r="F786" s="248"/>
      <c r="G786" s="246">
        <v>1</v>
      </c>
      <c r="H786" s="246" t="s">
        <v>482</v>
      </c>
      <c r="I786" s="248" t="s">
        <v>649</v>
      </c>
      <c r="J786" s="247">
        <v>1</v>
      </c>
      <c r="K786" s="247" t="str">
        <f>VLOOKUP(Ruimtestaat[[#This Row],[Ruimte code]],Ruimtegroepen[#All],2,FALSE)</f>
        <v>Magazijnen/bergingen</v>
      </c>
      <c r="L786" s="247" t="s">
        <v>677</v>
      </c>
      <c r="M786" s="246" t="s">
        <v>270</v>
      </c>
      <c r="N786" s="200">
        <v>73.489999999999995</v>
      </c>
      <c r="O786" s="200"/>
      <c r="P786" s="231" t="str">
        <f>VLOOKUP(Ruimtestaat[[#This Row],[Ruimte code]],Ruimtegroepen[#All],4,FALSE)</f>
        <v>V  (Verkeersruimte)</v>
      </c>
      <c r="Q786" s="201"/>
      <c r="R786" s="202">
        <v>42</v>
      </c>
      <c r="S786" s="202" t="s">
        <v>15</v>
      </c>
      <c r="T786" s="202">
        <f>IF(R786&gt;0,IF(RIGHT(Ruimtestaat[[#This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786" s="202">
        <f>IF(T786&gt;0,VLOOKUP($J786,Ruimtegroepen[],3,FALSE)*VLOOKUP($L786,Vloersoorten[],3,FALSE)*VLOOKUP($S786,Frequenties[],3,FALSE)*VLOOKUP($A786,Locaties[],3,FALSE),0)</f>
        <v>0</v>
      </c>
      <c r="V786" s="202">
        <f>Ruimtestaat[[#This Row],[Uitvoeringen werkdagen]]*Ruimtestaat[[#This Row],[Oppervlak (netto)]]</f>
        <v>3086.58</v>
      </c>
      <c r="W786" s="242">
        <f>IF(U786&gt;0,Ruimtestaat[[#This Row],[Prest. (m2 /jaar) werkdagen]]/Ruimtestaat[[#This Row],[Norm (m2/uur) werkdagen]],0)</f>
        <v>0</v>
      </c>
      <c r="X786" s="243">
        <f>Ruimtestaat[[#This Row],[uren / jaar werkdagen]]*Tariefsopbouw!$D$38</f>
        <v>0</v>
      </c>
      <c r="Y786" s="33"/>
      <c r="Z786" s="33">
        <f>IF(Ruimtestaat[[#This Row],[Frequentie weekend]]&gt;0,VALUE(LEFT(Y786,1))*R786,0)</f>
        <v>0</v>
      </c>
      <c r="AA786" s="33">
        <f>IF($Z786&gt;0,VLOOKUP($J786,Ruimtegroepen[],3,FALSE)*VLOOKUP($L786,Vloersoorten[],3,FALSE)*VLOOKUP($Y786,Frequenties[],3,FALSE)*VLOOKUP(#REF!,Locaties[],3,FALSE),0)</f>
        <v>0</v>
      </c>
      <c r="AB786" s="33"/>
      <c r="AC786" s="33"/>
      <c r="AD786" s="33">
        <f>Ruimtestaat[[#This Row],[uren / jaar weekend]]*Tariefsopbouw!$D$40</f>
        <v>0</v>
      </c>
      <c r="AE786" s="86">
        <f>Ruimtestaat[[#This Row],[Prest. (m2 /jaar) weekend]]+Ruimtestaat[[#This Row],[Prest. (m2 /jaar) werkdagen]]</f>
        <v>3086.58</v>
      </c>
      <c r="AF786" s="86">
        <f>Ruimtestaat[[#This Row],[uren / jaar weekend]]+Ruimtestaat[[#This Row],[uren / jaar werkdagen]]</f>
        <v>0</v>
      </c>
      <c r="AG786" s="87">
        <f>Ruimtestaat[[#This Row],[kosten / jaar weekend]]+Ruimtestaat[[#This Row],[kosten / jaar werkdagen]]</f>
        <v>0</v>
      </c>
    </row>
    <row r="787" spans="1:33" ht="15" customHeight="1">
      <c r="A787" s="187">
        <v>6</v>
      </c>
      <c r="B787" s="21" t="str">
        <f>VLOOKUP(Ruimtestaat[[#This Row],[Code]],Locaties[#All],2,FALSE)</f>
        <v>De Thij</v>
      </c>
      <c r="C787" s="247" t="str">
        <f>VLOOKUP(Ruimtestaat[[#This Row],[Code]],Locaties[#All],4,FALSE)</f>
        <v>Thijlaan 30</v>
      </c>
      <c r="D787" s="247" t="str">
        <f>VLOOKUP(Ruimtestaat[[#This Row],[Code]],Locaties[#All],5,FALSE)</f>
        <v>7576 ZB</v>
      </c>
      <c r="E787" s="187" t="str">
        <f>VLOOKUP(Ruimtestaat[[#This Row],[Code]],Locaties[#All],6,FALSE)</f>
        <v>Oldenzaal</v>
      </c>
      <c r="F787" s="248"/>
      <c r="G787" s="246">
        <v>1</v>
      </c>
      <c r="H787" s="246" t="s">
        <v>483</v>
      </c>
      <c r="I787" s="248" t="s">
        <v>650</v>
      </c>
      <c r="J787" s="247">
        <v>14</v>
      </c>
      <c r="K787" s="247" t="str">
        <f>VLOOKUP(Ruimtestaat[[#This Row],[Ruimte code]],Ruimtegroepen[#All],2,FALSE)</f>
        <v>Praktijklokalen/kabinet</v>
      </c>
      <c r="L787" s="247" t="s">
        <v>677</v>
      </c>
      <c r="M787" s="246" t="s">
        <v>270</v>
      </c>
      <c r="N787" s="200">
        <v>87.14</v>
      </c>
      <c r="O787" s="200"/>
      <c r="P787" s="231" t="str">
        <f>VLOOKUP(Ruimtestaat[[#This Row],[Ruimte code]],Ruimtegroepen[#All],4,FALSE)</f>
        <v>L  (Lesruimte)</v>
      </c>
      <c r="Q787" s="201"/>
      <c r="R787" s="202">
        <v>42</v>
      </c>
      <c r="S787" s="202" t="s">
        <v>2</v>
      </c>
      <c r="T787" s="202">
        <f>IF(R787&gt;0,IF(RIGHT(Ruimtestaat[[#This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87" s="202">
        <f>IF(T787&gt;0,VLOOKUP($J787,Ruimtegroepen[],3,FALSE)*VLOOKUP($L787,Vloersoorten[],3,FALSE)*VLOOKUP($S787,Frequenties[],3,FALSE)*VLOOKUP($A787,Locaties[],3,FALSE),0)</f>
        <v>0</v>
      </c>
      <c r="V787" s="202">
        <f>Ruimtestaat[[#This Row],[Uitvoeringen werkdagen]]*Ruimtestaat[[#This Row],[Oppervlak (netto)]]</f>
        <v>18299.400000000001</v>
      </c>
      <c r="W787" s="242">
        <f>IF(U787&gt;0,Ruimtestaat[[#This Row],[Prest. (m2 /jaar) werkdagen]]/Ruimtestaat[[#This Row],[Norm (m2/uur) werkdagen]],0)</f>
        <v>0</v>
      </c>
      <c r="X787" s="243">
        <f>Ruimtestaat[[#This Row],[uren / jaar werkdagen]]*Tariefsopbouw!$D$38</f>
        <v>0</v>
      </c>
      <c r="Y787" s="33"/>
      <c r="Z787" s="33">
        <f>IF(Ruimtestaat[[#This Row],[Frequentie weekend]]&gt;0,VALUE(LEFT(Y787,1))*R787,0)</f>
        <v>0</v>
      </c>
      <c r="AA787" s="33">
        <f>IF($Z787&gt;0,VLOOKUP($J787,Ruimtegroepen[],3,FALSE)*VLOOKUP($L787,Vloersoorten[],3,FALSE)*VLOOKUP($Y787,Frequenties[],3,FALSE)*VLOOKUP(#REF!,Locaties[],3,FALSE),0)</f>
        <v>0</v>
      </c>
      <c r="AB787" s="33"/>
      <c r="AC787" s="33"/>
      <c r="AD787" s="33">
        <f>Ruimtestaat[[#This Row],[uren / jaar weekend]]*Tariefsopbouw!$D$40</f>
        <v>0</v>
      </c>
      <c r="AE787" s="86">
        <f>Ruimtestaat[[#This Row],[Prest. (m2 /jaar) weekend]]+Ruimtestaat[[#This Row],[Prest. (m2 /jaar) werkdagen]]</f>
        <v>18299.400000000001</v>
      </c>
      <c r="AF787" s="86">
        <f>Ruimtestaat[[#This Row],[uren / jaar weekend]]+Ruimtestaat[[#This Row],[uren / jaar werkdagen]]</f>
        <v>0</v>
      </c>
      <c r="AG787" s="87">
        <f>Ruimtestaat[[#This Row],[kosten / jaar weekend]]+Ruimtestaat[[#This Row],[kosten / jaar werkdagen]]</f>
        <v>0</v>
      </c>
    </row>
    <row r="788" spans="1:33" ht="15" customHeight="1">
      <c r="A788" s="187">
        <v>6</v>
      </c>
      <c r="B788" s="21" t="str">
        <f>VLOOKUP(Ruimtestaat[[#This Row],[Code]],Locaties[#All],2,FALSE)</f>
        <v>De Thij</v>
      </c>
      <c r="C788" s="247" t="str">
        <f>VLOOKUP(Ruimtestaat[[#This Row],[Code]],Locaties[#All],4,FALSE)</f>
        <v>Thijlaan 30</v>
      </c>
      <c r="D788" s="247" t="str">
        <f>VLOOKUP(Ruimtestaat[[#This Row],[Code]],Locaties[#All],5,FALSE)</f>
        <v>7576 ZB</v>
      </c>
      <c r="E788" s="187" t="str">
        <f>VLOOKUP(Ruimtestaat[[#This Row],[Code]],Locaties[#All],6,FALSE)</f>
        <v>Oldenzaal</v>
      </c>
      <c r="F788" s="248"/>
      <c r="G788" s="246">
        <v>1</v>
      </c>
      <c r="H788" s="246" t="s">
        <v>602</v>
      </c>
      <c r="I788" s="248" t="s">
        <v>840</v>
      </c>
      <c r="J788" s="187">
        <v>16</v>
      </c>
      <c r="K788" s="187" t="str">
        <f>VLOOKUP(Ruimtestaat[[#This Row],[Ruimte code]],Ruimtegroepen[#All],2,FALSE)</f>
        <v>Leslokalen/computerlokaal</v>
      </c>
      <c r="L788" s="247" t="s">
        <v>677</v>
      </c>
      <c r="M788" s="246" t="s">
        <v>270</v>
      </c>
      <c r="N788" s="200">
        <v>15.3</v>
      </c>
      <c r="O788" s="200"/>
      <c r="P788" s="231" t="str">
        <f>VLOOKUP(Ruimtestaat[[#This Row],[Ruimte code]],Ruimtegroepen[#All],4,FALSE)</f>
        <v>L  (Lesruimte)</v>
      </c>
      <c r="Q788" s="201"/>
      <c r="R788" s="202">
        <v>42</v>
      </c>
      <c r="S788" s="202" t="s">
        <v>15</v>
      </c>
      <c r="T788" s="202">
        <f>IF(R788&gt;0,IF(RIGHT(Ruimtestaat[[#This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788" s="202">
        <f>IF(T788&gt;0,VLOOKUP($J788,Ruimtegroepen[],3,FALSE)*VLOOKUP($L788,Vloersoorten[],3,FALSE)*VLOOKUP($S788,Frequenties[],3,FALSE)*VLOOKUP($A788,Locaties[],3,FALSE),0)</f>
        <v>0</v>
      </c>
      <c r="V788" s="202">
        <f>Ruimtestaat[[#This Row],[Uitvoeringen werkdagen]]*Ruimtestaat[[#This Row],[Oppervlak (netto)]]</f>
        <v>642.6</v>
      </c>
      <c r="W788" s="242">
        <f>IF(U788&gt;0,Ruimtestaat[[#This Row],[Prest. (m2 /jaar) werkdagen]]/Ruimtestaat[[#This Row],[Norm (m2/uur) werkdagen]],0)</f>
        <v>0</v>
      </c>
      <c r="X788" s="243">
        <f>Ruimtestaat[[#This Row],[uren / jaar werkdagen]]*Tariefsopbouw!$D$38</f>
        <v>0</v>
      </c>
      <c r="Y788" s="33"/>
      <c r="Z788" s="33">
        <f>IF(Ruimtestaat[[#This Row],[Frequentie weekend]]&gt;0,VALUE(LEFT(Y788,1))*R788,0)</f>
        <v>0</v>
      </c>
      <c r="AA788" s="33">
        <f>IF($Z788&gt;0,VLOOKUP($J788,Ruimtegroepen[],3,FALSE)*VLOOKUP($L788,Vloersoorten[],3,FALSE)*VLOOKUP($Y788,Frequenties[],3,FALSE)*VLOOKUP(#REF!,Locaties[],3,FALSE),0)</f>
        <v>0</v>
      </c>
      <c r="AB788" s="33"/>
      <c r="AC788" s="33"/>
      <c r="AD788" s="33">
        <f>Ruimtestaat[[#This Row],[uren / jaar weekend]]*Tariefsopbouw!$D$40</f>
        <v>0</v>
      </c>
      <c r="AE788" s="86">
        <f>Ruimtestaat[[#This Row],[Prest. (m2 /jaar) weekend]]+Ruimtestaat[[#This Row],[Prest. (m2 /jaar) werkdagen]]</f>
        <v>642.6</v>
      </c>
      <c r="AF788" s="86">
        <f>Ruimtestaat[[#This Row],[uren / jaar weekend]]+Ruimtestaat[[#This Row],[uren / jaar werkdagen]]</f>
        <v>0</v>
      </c>
      <c r="AG788" s="87">
        <f>Ruimtestaat[[#This Row],[kosten / jaar weekend]]+Ruimtestaat[[#This Row],[kosten / jaar werkdagen]]</f>
        <v>0</v>
      </c>
    </row>
    <row r="789" spans="1:33" ht="15" customHeight="1">
      <c r="A789" s="187">
        <v>6</v>
      </c>
      <c r="B789" s="21" t="str">
        <f>VLOOKUP(Ruimtestaat[[#This Row],[Code]],Locaties[#All],2,FALSE)</f>
        <v>De Thij</v>
      </c>
      <c r="C789" s="247" t="str">
        <f>VLOOKUP(Ruimtestaat[[#This Row],[Code]],Locaties[#All],4,FALSE)</f>
        <v>Thijlaan 30</v>
      </c>
      <c r="D789" s="247" t="str">
        <f>VLOOKUP(Ruimtestaat[[#This Row],[Code]],Locaties[#All],5,FALSE)</f>
        <v>7576 ZB</v>
      </c>
      <c r="E789" s="187" t="str">
        <f>VLOOKUP(Ruimtestaat[[#This Row],[Code]],Locaties[#All],6,FALSE)</f>
        <v>Oldenzaal</v>
      </c>
      <c r="F789" s="248"/>
      <c r="G789" s="246">
        <v>1</v>
      </c>
      <c r="H789" s="246" t="s">
        <v>485</v>
      </c>
      <c r="I789" s="248" t="s">
        <v>651</v>
      </c>
      <c r="J789" s="187">
        <v>14</v>
      </c>
      <c r="K789" s="187" t="str">
        <f>VLOOKUP(Ruimtestaat[[#This Row],[Ruimte code]],Ruimtegroepen[#All],2,FALSE)</f>
        <v>Praktijklokalen/kabinet</v>
      </c>
      <c r="L789" s="247" t="s">
        <v>677</v>
      </c>
      <c r="M789" s="246" t="s">
        <v>270</v>
      </c>
      <c r="N789" s="200">
        <v>161.29</v>
      </c>
      <c r="O789" s="200"/>
      <c r="P789" s="231" t="str">
        <f>VLOOKUP(Ruimtestaat[[#This Row],[Ruimte code]],Ruimtegroepen[#All],4,FALSE)</f>
        <v>L  (Lesruimte)</v>
      </c>
      <c r="Q789" s="201"/>
      <c r="R789" s="202">
        <v>42</v>
      </c>
      <c r="S789" s="202" t="s">
        <v>2</v>
      </c>
      <c r="T789" s="202">
        <f>IF(R789&gt;0,IF(RIGHT(Ruimtestaat[[#This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89" s="202">
        <f>IF(T789&gt;0,VLOOKUP($J789,Ruimtegroepen[],3,FALSE)*VLOOKUP($L789,Vloersoorten[],3,FALSE)*VLOOKUP($S789,Frequenties[],3,FALSE)*VLOOKUP($A789,Locaties[],3,FALSE),0)</f>
        <v>0</v>
      </c>
      <c r="V789" s="202">
        <f>Ruimtestaat[[#This Row],[Uitvoeringen werkdagen]]*Ruimtestaat[[#This Row],[Oppervlak (netto)]]</f>
        <v>33870.9</v>
      </c>
      <c r="W789" s="242">
        <f>IF(U789&gt;0,Ruimtestaat[[#This Row],[Prest. (m2 /jaar) werkdagen]]/Ruimtestaat[[#This Row],[Norm (m2/uur) werkdagen]],0)</f>
        <v>0</v>
      </c>
      <c r="X789" s="243">
        <f>Ruimtestaat[[#This Row],[uren / jaar werkdagen]]*Tariefsopbouw!$D$38</f>
        <v>0</v>
      </c>
      <c r="Y789" s="33"/>
      <c r="Z789" s="33">
        <f>IF(Ruimtestaat[[#This Row],[Frequentie weekend]]&gt;0,VALUE(LEFT(Y789,1))*R789,0)</f>
        <v>0</v>
      </c>
      <c r="AA789" s="33">
        <f>IF($Z789&gt;0,VLOOKUP($J789,Ruimtegroepen[],3,FALSE)*VLOOKUP($L789,Vloersoorten[],3,FALSE)*VLOOKUP($Y789,Frequenties[],3,FALSE)*VLOOKUP(#REF!,Locaties[],3,FALSE),0)</f>
        <v>0</v>
      </c>
      <c r="AB789" s="33"/>
      <c r="AC789" s="33"/>
      <c r="AD789" s="33">
        <f>Ruimtestaat[[#This Row],[uren / jaar weekend]]*Tariefsopbouw!$D$40</f>
        <v>0</v>
      </c>
      <c r="AE789" s="86">
        <f>Ruimtestaat[[#This Row],[Prest. (m2 /jaar) weekend]]+Ruimtestaat[[#This Row],[Prest. (m2 /jaar) werkdagen]]</f>
        <v>33870.9</v>
      </c>
      <c r="AF789" s="86">
        <f>Ruimtestaat[[#This Row],[uren / jaar weekend]]+Ruimtestaat[[#This Row],[uren / jaar werkdagen]]</f>
        <v>0</v>
      </c>
      <c r="AG789" s="87">
        <f>Ruimtestaat[[#This Row],[kosten / jaar weekend]]+Ruimtestaat[[#This Row],[kosten / jaar werkdagen]]</f>
        <v>0</v>
      </c>
    </row>
    <row r="790" spans="1:33" ht="15" customHeight="1">
      <c r="A790" s="187">
        <v>6</v>
      </c>
      <c r="B790" s="21" t="str">
        <f>VLOOKUP(Ruimtestaat[[#This Row],[Code]],Locaties[#All],2,FALSE)</f>
        <v>De Thij</v>
      </c>
      <c r="C790" s="247" t="str">
        <f>VLOOKUP(Ruimtestaat[[#This Row],[Code]],Locaties[#All],4,FALSE)</f>
        <v>Thijlaan 30</v>
      </c>
      <c r="D790" s="247" t="str">
        <f>VLOOKUP(Ruimtestaat[[#This Row],[Code]],Locaties[#All],5,FALSE)</f>
        <v>7576 ZB</v>
      </c>
      <c r="E790" s="187" t="str">
        <f>VLOOKUP(Ruimtestaat[[#This Row],[Code]],Locaties[#All],6,FALSE)</f>
        <v>Oldenzaal</v>
      </c>
      <c r="F790" s="248"/>
      <c r="G790" s="246">
        <v>1</v>
      </c>
      <c r="H790" s="246" t="s">
        <v>841</v>
      </c>
      <c r="I790" s="248" t="s">
        <v>842</v>
      </c>
      <c r="J790" s="187">
        <v>1</v>
      </c>
      <c r="K790" s="187" t="str">
        <f>VLOOKUP(Ruimtestaat[[#This Row],[Ruimte code]],Ruimtegroepen[#All],2,FALSE)</f>
        <v>Magazijnen/bergingen</v>
      </c>
      <c r="L790" s="247" t="s">
        <v>677</v>
      </c>
      <c r="M790" s="246" t="s">
        <v>270</v>
      </c>
      <c r="N790" s="200">
        <v>8.7799999999999994</v>
      </c>
      <c r="O790" s="200"/>
      <c r="P790" s="231" t="str">
        <f>VLOOKUP(Ruimtestaat[[#This Row],[Ruimte code]],Ruimtegroepen[#All],4,FALSE)</f>
        <v>V  (Verkeersruimte)</v>
      </c>
      <c r="Q790" s="201"/>
      <c r="R790" s="202">
        <v>42</v>
      </c>
      <c r="S790" s="202" t="s">
        <v>15</v>
      </c>
      <c r="T790" s="202">
        <f>IF(R790&gt;0,IF(RIGHT(Ruimtestaat[[#This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790" s="202">
        <f>IF(T790&gt;0,VLOOKUP($J790,Ruimtegroepen[],3,FALSE)*VLOOKUP($L790,Vloersoorten[],3,FALSE)*VLOOKUP($S790,Frequenties[],3,FALSE)*VLOOKUP($A790,Locaties[],3,FALSE),0)</f>
        <v>0</v>
      </c>
      <c r="V790" s="202">
        <f>Ruimtestaat[[#This Row],[Uitvoeringen werkdagen]]*Ruimtestaat[[#This Row],[Oppervlak (netto)]]</f>
        <v>368.76</v>
      </c>
      <c r="W790" s="242">
        <f>IF(U790&gt;0,Ruimtestaat[[#This Row],[Prest. (m2 /jaar) werkdagen]]/Ruimtestaat[[#This Row],[Norm (m2/uur) werkdagen]],0)</f>
        <v>0</v>
      </c>
      <c r="X790" s="243">
        <f>Ruimtestaat[[#This Row],[uren / jaar werkdagen]]*Tariefsopbouw!$D$38</f>
        <v>0</v>
      </c>
      <c r="Y790" s="33"/>
      <c r="Z790" s="33">
        <f>IF(Ruimtestaat[[#This Row],[Frequentie weekend]]&gt;0,VALUE(LEFT(Y790,1))*R790,0)</f>
        <v>0</v>
      </c>
      <c r="AA790" s="33">
        <f>IF($Z790&gt;0,VLOOKUP($J790,Ruimtegroepen[],3,FALSE)*VLOOKUP($L790,Vloersoorten[],3,FALSE)*VLOOKUP($Y790,Frequenties[],3,FALSE)*VLOOKUP(#REF!,Locaties[],3,FALSE),0)</f>
        <v>0</v>
      </c>
      <c r="AB790" s="33"/>
      <c r="AC790" s="33"/>
      <c r="AD790" s="33">
        <f>Ruimtestaat[[#This Row],[uren / jaar weekend]]*Tariefsopbouw!$D$40</f>
        <v>0</v>
      </c>
      <c r="AE790" s="86">
        <f>Ruimtestaat[[#This Row],[Prest. (m2 /jaar) weekend]]+Ruimtestaat[[#This Row],[Prest. (m2 /jaar) werkdagen]]</f>
        <v>368.76</v>
      </c>
      <c r="AF790" s="86">
        <f>Ruimtestaat[[#This Row],[uren / jaar weekend]]+Ruimtestaat[[#This Row],[uren / jaar werkdagen]]</f>
        <v>0</v>
      </c>
      <c r="AG790" s="87">
        <f>Ruimtestaat[[#This Row],[kosten / jaar weekend]]+Ruimtestaat[[#This Row],[kosten / jaar werkdagen]]</f>
        <v>0</v>
      </c>
    </row>
    <row r="791" spans="1:33" ht="15" customHeight="1">
      <c r="A791" s="187">
        <v>6</v>
      </c>
      <c r="B791" s="21" t="str">
        <f>VLOOKUP(Ruimtestaat[[#This Row],[Code]],Locaties[#All],2,FALSE)</f>
        <v>De Thij</v>
      </c>
      <c r="C791" s="247" t="str">
        <f>VLOOKUP(Ruimtestaat[[#This Row],[Code]],Locaties[#All],4,FALSE)</f>
        <v>Thijlaan 30</v>
      </c>
      <c r="D791" s="247" t="str">
        <f>VLOOKUP(Ruimtestaat[[#This Row],[Code]],Locaties[#All],5,FALSE)</f>
        <v>7576 ZB</v>
      </c>
      <c r="E791" s="187" t="str">
        <f>VLOOKUP(Ruimtestaat[[#This Row],[Code]],Locaties[#All],6,FALSE)</f>
        <v>Oldenzaal</v>
      </c>
      <c r="F791" s="248"/>
      <c r="G791" s="246">
        <v>1</v>
      </c>
      <c r="H791" s="246" t="s">
        <v>486</v>
      </c>
      <c r="I791" s="248" t="s">
        <v>836</v>
      </c>
      <c r="J791" s="247">
        <v>2</v>
      </c>
      <c r="K791" s="247" t="str">
        <f>VLOOKUP(Ruimtestaat[[#This Row],[Ruimte code]],Ruimtegroepen[#All],2,FALSE)</f>
        <v>Kantoren/kantoortuin</v>
      </c>
      <c r="L791" s="247" t="s">
        <v>677</v>
      </c>
      <c r="M791" s="246" t="s">
        <v>270</v>
      </c>
      <c r="N791" s="200">
        <v>37.799999999999997</v>
      </c>
      <c r="O791" s="200"/>
      <c r="P791" s="231" t="str">
        <f>VLOOKUP(Ruimtestaat[[#This Row],[Ruimte code]],Ruimtegroepen[#All],4,FALSE)</f>
        <v>B  (Bureauruimte)</v>
      </c>
      <c r="Q791" s="201"/>
      <c r="R791" s="202">
        <v>42</v>
      </c>
      <c r="S791" s="202" t="s">
        <v>2</v>
      </c>
      <c r="T791" s="202">
        <f>IF(R791&gt;0,IF(RIGHT(Ruimtestaat[[#This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91" s="202">
        <f>IF(T791&gt;0,VLOOKUP($J791,Ruimtegroepen[],3,FALSE)*VLOOKUP($L791,Vloersoorten[],3,FALSE)*VLOOKUP($S791,Frequenties[],3,FALSE)*VLOOKUP($A791,Locaties[],3,FALSE),0)</f>
        <v>0</v>
      </c>
      <c r="V791" s="202">
        <f>Ruimtestaat[[#This Row],[Uitvoeringen werkdagen]]*Ruimtestaat[[#This Row],[Oppervlak (netto)]]</f>
        <v>7937.9999999999991</v>
      </c>
      <c r="W791" s="242">
        <f>IF(U791&gt;0,Ruimtestaat[[#This Row],[Prest. (m2 /jaar) werkdagen]]/Ruimtestaat[[#This Row],[Norm (m2/uur) werkdagen]],0)</f>
        <v>0</v>
      </c>
      <c r="X791" s="243">
        <f>Ruimtestaat[[#This Row],[uren / jaar werkdagen]]*Tariefsopbouw!$D$38</f>
        <v>0</v>
      </c>
      <c r="Y791" s="33"/>
      <c r="Z791" s="33">
        <f>IF(Ruimtestaat[[#This Row],[Frequentie weekend]]&gt;0,VALUE(LEFT(Y791,1))*R791,0)</f>
        <v>0</v>
      </c>
      <c r="AA791" s="33">
        <f>IF($Z791&gt;0,VLOOKUP($J791,Ruimtegroepen[],3,FALSE)*VLOOKUP($L791,Vloersoorten[],3,FALSE)*VLOOKUP($Y791,Frequenties[],3,FALSE)*VLOOKUP(#REF!,Locaties[],3,FALSE),0)</f>
        <v>0</v>
      </c>
      <c r="AB791" s="33"/>
      <c r="AC791" s="33"/>
      <c r="AD791" s="33">
        <f>Ruimtestaat[[#This Row],[uren / jaar weekend]]*Tariefsopbouw!$D$40</f>
        <v>0</v>
      </c>
      <c r="AE791" s="86">
        <f>Ruimtestaat[[#This Row],[Prest. (m2 /jaar) weekend]]+Ruimtestaat[[#This Row],[Prest. (m2 /jaar) werkdagen]]</f>
        <v>7937.9999999999991</v>
      </c>
      <c r="AF791" s="86">
        <f>Ruimtestaat[[#This Row],[uren / jaar weekend]]+Ruimtestaat[[#This Row],[uren / jaar werkdagen]]</f>
        <v>0</v>
      </c>
      <c r="AG791" s="87">
        <f>Ruimtestaat[[#This Row],[kosten / jaar weekend]]+Ruimtestaat[[#This Row],[kosten / jaar werkdagen]]</f>
        <v>0</v>
      </c>
    </row>
    <row r="792" spans="1:33" ht="15" customHeight="1">
      <c r="A792" s="187">
        <v>6</v>
      </c>
      <c r="B792" s="21" t="str">
        <f>VLOOKUP(Ruimtestaat[[#This Row],[Code]],Locaties[#All],2,FALSE)</f>
        <v>De Thij</v>
      </c>
      <c r="C792" s="247" t="str">
        <f>VLOOKUP(Ruimtestaat[[#This Row],[Code]],Locaties[#All],4,FALSE)</f>
        <v>Thijlaan 30</v>
      </c>
      <c r="D792" s="247" t="str">
        <f>VLOOKUP(Ruimtestaat[[#This Row],[Code]],Locaties[#All],5,FALSE)</f>
        <v>7576 ZB</v>
      </c>
      <c r="E792" s="187" t="str">
        <f>VLOOKUP(Ruimtestaat[[#This Row],[Code]],Locaties[#All],6,FALSE)</f>
        <v>Oldenzaal</v>
      </c>
      <c r="F792" s="248"/>
      <c r="G792" s="246">
        <v>1</v>
      </c>
      <c r="H792" s="246" t="s">
        <v>487</v>
      </c>
      <c r="I792" s="248" t="s">
        <v>840</v>
      </c>
      <c r="J792" s="187">
        <v>16</v>
      </c>
      <c r="K792" s="187" t="str">
        <f>VLOOKUP(Ruimtestaat[[#This Row],[Ruimte code]],Ruimtegroepen[#All],2,FALSE)</f>
        <v>Leslokalen/computerlokaal</v>
      </c>
      <c r="L792" s="247" t="s">
        <v>677</v>
      </c>
      <c r="M792" s="246" t="s">
        <v>270</v>
      </c>
      <c r="N792" s="200">
        <v>24.69</v>
      </c>
      <c r="O792" s="200"/>
      <c r="P792" s="231" t="str">
        <f>VLOOKUP(Ruimtestaat[[#This Row],[Ruimte code]],Ruimtegroepen[#All],4,FALSE)</f>
        <v>L  (Lesruimte)</v>
      </c>
      <c r="Q792" s="201"/>
      <c r="R792" s="202">
        <v>42</v>
      </c>
      <c r="S792" s="202" t="s">
        <v>15</v>
      </c>
      <c r="T792" s="202">
        <f>IF(R792&gt;0,IF(RIGHT(Ruimtestaat[[#This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792" s="202">
        <f>IF(T792&gt;0,VLOOKUP($J792,Ruimtegroepen[],3,FALSE)*VLOOKUP($L792,Vloersoorten[],3,FALSE)*VLOOKUP($S792,Frequenties[],3,FALSE)*VLOOKUP($A792,Locaties[],3,FALSE),0)</f>
        <v>0</v>
      </c>
      <c r="V792" s="202">
        <f>Ruimtestaat[[#This Row],[Uitvoeringen werkdagen]]*Ruimtestaat[[#This Row],[Oppervlak (netto)]]</f>
        <v>1036.98</v>
      </c>
      <c r="W792" s="242">
        <f>IF(U792&gt;0,Ruimtestaat[[#This Row],[Prest. (m2 /jaar) werkdagen]]/Ruimtestaat[[#This Row],[Norm (m2/uur) werkdagen]],0)</f>
        <v>0</v>
      </c>
      <c r="X792" s="243">
        <f>Ruimtestaat[[#This Row],[uren / jaar werkdagen]]*Tariefsopbouw!$D$38</f>
        <v>0</v>
      </c>
      <c r="Y792" s="33"/>
      <c r="Z792" s="33">
        <f>IF(Ruimtestaat[[#This Row],[Frequentie weekend]]&gt;0,VALUE(LEFT(Y792,1))*R792,0)</f>
        <v>0</v>
      </c>
      <c r="AA792" s="33">
        <f>IF($Z792&gt;0,VLOOKUP($J792,Ruimtegroepen[],3,FALSE)*VLOOKUP($L792,Vloersoorten[],3,FALSE)*VLOOKUP($Y792,Frequenties[],3,FALSE)*VLOOKUP(#REF!,Locaties[],3,FALSE),0)</f>
        <v>0</v>
      </c>
      <c r="AB792" s="33"/>
      <c r="AC792" s="33"/>
      <c r="AD792" s="33">
        <f>Ruimtestaat[[#This Row],[uren / jaar weekend]]*Tariefsopbouw!$D$40</f>
        <v>0</v>
      </c>
      <c r="AE792" s="86">
        <f>Ruimtestaat[[#This Row],[Prest. (m2 /jaar) weekend]]+Ruimtestaat[[#This Row],[Prest. (m2 /jaar) werkdagen]]</f>
        <v>1036.98</v>
      </c>
      <c r="AF792" s="86">
        <f>Ruimtestaat[[#This Row],[uren / jaar weekend]]+Ruimtestaat[[#This Row],[uren / jaar werkdagen]]</f>
        <v>0</v>
      </c>
      <c r="AG792" s="87">
        <f>Ruimtestaat[[#This Row],[kosten / jaar weekend]]+Ruimtestaat[[#This Row],[kosten / jaar werkdagen]]</f>
        <v>0</v>
      </c>
    </row>
    <row r="793" spans="1:33" ht="15" customHeight="1">
      <c r="A793" s="187">
        <v>6</v>
      </c>
      <c r="B793" s="21" t="str">
        <f>VLOOKUP(Ruimtestaat[[#This Row],[Code]],Locaties[#All],2,FALSE)</f>
        <v>De Thij</v>
      </c>
      <c r="C793" s="247" t="str">
        <f>VLOOKUP(Ruimtestaat[[#This Row],[Code]],Locaties[#All],4,FALSE)</f>
        <v>Thijlaan 30</v>
      </c>
      <c r="D793" s="247" t="str">
        <f>VLOOKUP(Ruimtestaat[[#This Row],[Code]],Locaties[#All],5,FALSE)</f>
        <v>7576 ZB</v>
      </c>
      <c r="E793" s="187" t="str">
        <f>VLOOKUP(Ruimtestaat[[#This Row],[Code]],Locaties[#All],6,FALSE)</f>
        <v>Oldenzaal</v>
      </c>
      <c r="F793" s="248"/>
      <c r="G793" s="246">
        <v>1</v>
      </c>
      <c r="H793" s="246" t="s">
        <v>487</v>
      </c>
      <c r="I793" s="248" t="s">
        <v>652</v>
      </c>
      <c r="J793" s="187">
        <v>14</v>
      </c>
      <c r="K793" s="187" t="str">
        <f>VLOOKUP(Ruimtestaat[[#This Row],[Ruimte code]],Ruimtegroepen[#All],2,FALSE)</f>
        <v>Praktijklokalen/kabinet</v>
      </c>
      <c r="L793" s="247" t="s">
        <v>677</v>
      </c>
      <c r="M793" s="246" t="s">
        <v>270</v>
      </c>
      <c r="N793" s="200">
        <v>6.74</v>
      </c>
      <c r="O793" s="200"/>
      <c r="P793" s="231" t="str">
        <f>VLOOKUP(Ruimtestaat[[#This Row],[Ruimte code]],Ruimtegroepen[#All],4,FALSE)</f>
        <v>L  (Lesruimte)</v>
      </c>
      <c r="Q793" s="201"/>
      <c r="R793" s="202">
        <v>42</v>
      </c>
      <c r="S793" s="202" t="s">
        <v>2</v>
      </c>
      <c r="T793" s="202">
        <f>IF(R793&gt;0,IF(RIGHT(Ruimtestaat[[#This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93" s="202">
        <f>IF(T793&gt;0,VLOOKUP($J793,Ruimtegroepen[],3,FALSE)*VLOOKUP($L793,Vloersoorten[],3,FALSE)*VLOOKUP($S793,Frequenties[],3,FALSE)*VLOOKUP($A793,Locaties[],3,FALSE),0)</f>
        <v>0</v>
      </c>
      <c r="V793" s="202">
        <f>Ruimtestaat[[#This Row],[Uitvoeringen werkdagen]]*Ruimtestaat[[#This Row],[Oppervlak (netto)]]</f>
        <v>1415.4</v>
      </c>
      <c r="W793" s="242">
        <f>IF(U793&gt;0,Ruimtestaat[[#This Row],[Prest. (m2 /jaar) werkdagen]]/Ruimtestaat[[#This Row],[Norm (m2/uur) werkdagen]],0)</f>
        <v>0</v>
      </c>
      <c r="X793" s="243">
        <f>Ruimtestaat[[#This Row],[uren / jaar werkdagen]]*Tariefsopbouw!$D$38</f>
        <v>0</v>
      </c>
      <c r="Y793" s="33"/>
      <c r="Z793" s="33">
        <f>IF(Ruimtestaat[[#This Row],[Frequentie weekend]]&gt;0,VALUE(LEFT(Y793,1))*R793,0)</f>
        <v>0</v>
      </c>
      <c r="AA793" s="33">
        <f>IF($Z793&gt;0,VLOOKUP($J793,Ruimtegroepen[],3,FALSE)*VLOOKUP($L793,Vloersoorten[],3,FALSE)*VLOOKUP($Y793,Frequenties[],3,FALSE)*VLOOKUP(#REF!,Locaties[],3,FALSE),0)</f>
        <v>0</v>
      </c>
      <c r="AB793" s="33"/>
      <c r="AC793" s="33"/>
      <c r="AD793" s="33">
        <f>Ruimtestaat[[#This Row],[uren / jaar weekend]]*Tariefsopbouw!$D$40</f>
        <v>0</v>
      </c>
      <c r="AE793" s="86">
        <f>Ruimtestaat[[#This Row],[Prest. (m2 /jaar) weekend]]+Ruimtestaat[[#This Row],[Prest. (m2 /jaar) werkdagen]]</f>
        <v>1415.4</v>
      </c>
      <c r="AF793" s="86">
        <f>Ruimtestaat[[#This Row],[uren / jaar weekend]]+Ruimtestaat[[#This Row],[uren / jaar werkdagen]]</f>
        <v>0</v>
      </c>
      <c r="AG793" s="87">
        <f>Ruimtestaat[[#This Row],[kosten / jaar weekend]]+Ruimtestaat[[#This Row],[kosten / jaar werkdagen]]</f>
        <v>0</v>
      </c>
    </row>
    <row r="794" spans="1:33" ht="15" customHeight="1">
      <c r="A794" s="187">
        <v>6</v>
      </c>
      <c r="B794" s="21" t="str">
        <f>VLOOKUP(Ruimtestaat[[#This Row],[Code]],Locaties[#All],2,FALSE)</f>
        <v>De Thij</v>
      </c>
      <c r="C794" s="247" t="str">
        <f>VLOOKUP(Ruimtestaat[[#This Row],[Code]],Locaties[#All],4,FALSE)</f>
        <v>Thijlaan 30</v>
      </c>
      <c r="D794" s="247" t="str">
        <f>VLOOKUP(Ruimtestaat[[#This Row],[Code]],Locaties[#All],5,FALSE)</f>
        <v>7576 ZB</v>
      </c>
      <c r="E794" s="187" t="str">
        <f>VLOOKUP(Ruimtestaat[[#This Row],[Code]],Locaties[#All],6,FALSE)</f>
        <v>Oldenzaal</v>
      </c>
      <c r="F794" s="248"/>
      <c r="G794" s="246">
        <v>1</v>
      </c>
      <c r="H794" s="246" t="s">
        <v>489</v>
      </c>
      <c r="I794" s="248" t="s">
        <v>653</v>
      </c>
      <c r="J794" s="187">
        <v>14</v>
      </c>
      <c r="K794" s="187" t="str">
        <f>VLOOKUP(Ruimtestaat[[#This Row],[Ruimte code]],Ruimtegroepen[#All],2,FALSE)</f>
        <v>Praktijklokalen/kabinet</v>
      </c>
      <c r="L794" s="247" t="s">
        <v>677</v>
      </c>
      <c r="M794" s="246" t="s">
        <v>270</v>
      </c>
      <c r="N794" s="200">
        <v>87.38</v>
      </c>
      <c r="O794" s="200"/>
      <c r="P794" s="231" t="str">
        <f>VLOOKUP(Ruimtestaat[[#This Row],[Ruimte code]],Ruimtegroepen[#All],4,FALSE)</f>
        <v>L  (Lesruimte)</v>
      </c>
      <c r="Q794" s="201"/>
      <c r="R794" s="202">
        <v>42</v>
      </c>
      <c r="S794" s="202" t="s">
        <v>2</v>
      </c>
      <c r="T794" s="202">
        <f>IF(R794&gt;0,IF(RIGHT(Ruimtestaat[[#This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94" s="202">
        <f>IF(T794&gt;0,VLOOKUP($J794,Ruimtegroepen[],3,FALSE)*VLOOKUP($L794,Vloersoorten[],3,FALSE)*VLOOKUP($S794,Frequenties[],3,FALSE)*VLOOKUP($A794,Locaties[],3,FALSE),0)</f>
        <v>0</v>
      </c>
      <c r="V794" s="202">
        <f>Ruimtestaat[[#This Row],[Uitvoeringen werkdagen]]*Ruimtestaat[[#This Row],[Oppervlak (netto)]]</f>
        <v>18349.8</v>
      </c>
      <c r="W794" s="242">
        <f>IF(U794&gt;0,Ruimtestaat[[#This Row],[Prest. (m2 /jaar) werkdagen]]/Ruimtestaat[[#This Row],[Norm (m2/uur) werkdagen]],0)</f>
        <v>0</v>
      </c>
      <c r="X794" s="243">
        <f>Ruimtestaat[[#This Row],[uren / jaar werkdagen]]*Tariefsopbouw!$D$38</f>
        <v>0</v>
      </c>
      <c r="Y794" s="33"/>
      <c r="Z794" s="33">
        <f>IF(Ruimtestaat[[#This Row],[Frequentie weekend]]&gt;0,VALUE(LEFT(Y794,1))*R794,0)</f>
        <v>0</v>
      </c>
      <c r="AA794" s="33">
        <f>IF($Z794&gt;0,VLOOKUP($J794,Ruimtegroepen[],3,FALSE)*VLOOKUP($L794,Vloersoorten[],3,FALSE)*VLOOKUP($Y794,Frequenties[],3,FALSE)*VLOOKUP(#REF!,Locaties[],3,FALSE),0)</f>
        <v>0</v>
      </c>
      <c r="AB794" s="33"/>
      <c r="AC794" s="33"/>
      <c r="AD794" s="33">
        <f>Ruimtestaat[[#This Row],[uren / jaar weekend]]*Tariefsopbouw!$D$40</f>
        <v>0</v>
      </c>
      <c r="AE794" s="86">
        <f>Ruimtestaat[[#This Row],[Prest. (m2 /jaar) weekend]]+Ruimtestaat[[#This Row],[Prest. (m2 /jaar) werkdagen]]</f>
        <v>18349.8</v>
      </c>
      <c r="AF794" s="86">
        <f>Ruimtestaat[[#This Row],[uren / jaar weekend]]+Ruimtestaat[[#This Row],[uren / jaar werkdagen]]</f>
        <v>0</v>
      </c>
      <c r="AG794" s="87">
        <f>Ruimtestaat[[#This Row],[kosten / jaar weekend]]+Ruimtestaat[[#This Row],[kosten / jaar werkdagen]]</f>
        <v>0</v>
      </c>
    </row>
    <row r="795" spans="1:33" ht="15" customHeight="1">
      <c r="A795" s="187">
        <v>6</v>
      </c>
      <c r="B795" s="21" t="str">
        <f>VLOOKUP(Ruimtestaat[[#This Row],[Code]],Locaties[#All],2,FALSE)</f>
        <v>De Thij</v>
      </c>
      <c r="C795" s="247" t="str">
        <f>VLOOKUP(Ruimtestaat[[#This Row],[Code]],Locaties[#All],4,FALSE)</f>
        <v>Thijlaan 30</v>
      </c>
      <c r="D795" s="247" t="str">
        <f>VLOOKUP(Ruimtestaat[[#This Row],[Code]],Locaties[#All],5,FALSE)</f>
        <v>7576 ZB</v>
      </c>
      <c r="E795" s="187" t="str">
        <f>VLOOKUP(Ruimtestaat[[#This Row],[Code]],Locaties[#All],6,FALSE)</f>
        <v>Oldenzaal</v>
      </c>
      <c r="F795" s="248"/>
      <c r="G795" s="246">
        <v>1</v>
      </c>
      <c r="H795" s="246" t="s">
        <v>490</v>
      </c>
      <c r="I795" s="248" t="s">
        <v>654</v>
      </c>
      <c r="J795" s="247">
        <v>14</v>
      </c>
      <c r="K795" s="247" t="str">
        <f>VLOOKUP(Ruimtestaat[[#This Row],[Ruimte code]],Ruimtegroepen[#All],2,FALSE)</f>
        <v>Praktijklokalen/kabinet</v>
      </c>
      <c r="L795" s="247" t="s">
        <v>677</v>
      </c>
      <c r="M795" s="246" t="s">
        <v>270</v>
      </c>
      <c r="N795" s="200">
        <v>99.05</v>
      </c>
      <c r="O795" s="200"/>
      <c r="P795" s="231" t="str">
        <f>VLOOKUP(Ruimtestaat[[#This Row],[Ruimte code]],Ruimtegroepen[#All],4,FALSE)</f>
        <v>L  (Lesruimte)</v>
      </c>
      <c r="Q795" s="201"/>
      <c r="R795" s="202">
        <v>42</v>
      </c>
      <c r="S795" s="202" t="s">
        <v>2</v>
      </c>
      <c r="T795" s="202">
        <f>IF(R795&gt;0,IF(RIGHT(Ruimtestaat[[#This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95" s="202">
        <f>IF(T795&gt;0,VLOOKUP($J795,Ruimtegroepen[],3,FALSE)*VLOOKUP($L795,Vloersoorten[],3,FALSE)*VLOOKUP($S795,Frequenties[],3,FALSE)*VLOOKUP($A795,Locaties[],3,FALSE),0)</f>
        <v>0</v>
      </c>
      <c r="V795" s="202">
        <f>Ruimtestaat[[#This Row],[Uitvoeringen werkdagen]]*Ruimtestaat[[#This Row],[Oppervlak (netto)]]</f>
        <v>20800.5</v>
      </c>
      <c r="W795" s="242">
        <f>IF(U795&gt;0,Ruimtestaat[[#This Row],[Prest. (m2 /jaar) werkdagen]]/Ruimtestaat[[#This Row],[Norm (m2/uur) werkdagen]],0)</f>
        <v>0</v>
      </c>
      <c r="X795" s="243">
        <f>Ruimtestaat[[#This Row],[uren / jaar werkdagen]]*Tariefsopbouw!$D$38</f>
        <v>0</v>
      </c>
      <c r="Y795" s="33"/>
      <c r="Z795" s="33">
        <f>IF(Ruimtestaat[[#This Row],[Frequentie weekend]]&gt;0,VALUE(LEFT(Y795,1))*R795,0)</f>
        <v>0</v>
      </c>
      <c r="AA795" s="33">
        <f>IF($Z795&gt;0,VLOOKUP($J795,Ruimtegroepen[],3,FALSE)*VLOOKUP($L795,Vloersoorten[],3,FALSE)*VLOOKUP($Y795,Frequenties[],3,FALSE)*VLOOKUP(#REF!,Locaties[],3,FALSE),0)</f>
        <v>0</v>
      </c>
      <c r="AB795" s="33"/>
      <c r="AC795" s="33"/>
      <c r="AD795" s="33">
        <f>Ruimtestaat[[#This Row],[uren / jaar weekend]]*Tariefsopbouw!$D$40</f>
        <v>0</v>
      </c>
      <c r="AE795" s="86">
        <f>Ruimtestaat[[#This Row],[Prest. (m2 /jaar) weekend]]+Ruimtestaat[[#This Row],[Prest. (m2 /jaar) werkdagen]]</f>
        <v>20800.5</v>
      </c>
      <c r="AF795" s="86">
        <f>Ruimtestaat[[#This Row],[uren / jaar weekend]]+Ruimtestaat[[#This Row],[uren / jaar werkdagen]]</f>
        <v>0</v>
      </c>
      <c r="AG795" s="87">
        <f>Ruimtestaat[[#This Row],[kosten / jaar weekend]]+Ruimtestaat[[#This Row],[kosten / jaar werkdagen]]</f>
        <v>0</v>
      </c>
    </row>
    <row r="796" spans="1:33" ht="15" customHeight="1">
      <c r="A796" s="187">
        <v>6</v>
      </c>
      <c r="B796" s="21" t="str">
        <f>VLOOKUP(Ruimtestaat[[#This Row],[Code]],Locaties[#All],2,FALSE)</f>
        <v>De Thij</v>
      </c>
      <c r="C796" s="247" t="str">
        <f>VLOOKUP(Ruimtestaat[[#This Row],[Code]],Locaties[#All],4,FALSE)</f>
        <v>Thijlaan 30</v>
      </c>
      <c r="D796" s="247" t="str">
        <f>VLOOKUP(Ruimtestaat[[#This Row],[Code]],Locaties[#All],5,FALSE)</f>
        <v>7576 ZB</v>
      </c>
      <c r="E796" s="187" t="str">
        <f>VLOOKUP(Ruimtestaat[[#This Row],[Code]],Locaties[#All],6,FALSE)</f>
        <v>Oldenzaal</v>
      </c>
      <c r="F796" s="248"/>
      <c r="G796" s="246">
        <v>1</v>
      </c>
      <c r="H796" s="246" t="s">
        <v>491</v>
      </c>
      <c r="I796" s="248" t="s">
        <v>840</v>
      </c>
      <c r="J796" s="187">
        <v>16</v>
      </c>
      <c r="K796" s="187" t="str">
        <f>VLOOKUP(Ruimtestaat[[#This Row],[Ruimte code]],Ruimtegroepen[#All],2,FALSE)</f>
        <v>Leslokalen/computerlokaal</v>
      </c>
      <c r="L796" s="247" t="s">
        <v>677</v>
      </c>
      <c r="M796" s="246" t="s">
        <v>270</v>
      </c>
      <c r="N796" s="200">
        <v>16.66</v>
      </c>
      <c r="O796" s="200"/>
      <c r="P796" s="231" t="str">
        <f>VLOOKUP(Ruimtestaat[[#This Row],[Ruimte code]],Ruimtegroepen[#All],4,FALSE)</f>
        <v>L  (Lesruimte)</v>
      </c>
      <c r="Q796" s="201"/>
      <c r="R796" s="202">
        <v>42</v>
      </c>
      <c r="S796" s="202" t="s">
        <v>15</v>
      </c>
      <c r="T796" s="202">
        <f>IF(R796&gt;0,IF(RIGHT(Ruimtestaat[[#This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796" s="202">
        <f>IF(T796&gt;0,VLOOKUP($J796,Ruimtegroepen[],3,FALSE)*VLOOKUP($L796,Vloersoorten[],3,FALSE)*VLOOKUP($S796,Frequenties[],3,FALSE)*VLOOKUP($A796,Locaties[],3,FALSE),0)</f>
        <v>0</v>
      </c>
      <c r="V796" s="202">
        <f>Ruimtestaat[[#This Row],[Uitvoeringen werkdagen]]*Ruimtestaat[[#This Row],[Oppervlak (netto)]]</f>
        <v>699.72</v>
      </c>
      <c r="W796" s="242">
        <f>IF(U796&gt;0,Ruimtestaat[[#This Row],[Prest. (m2 /jaar) werkdagen]]/Ruimtestaat[[#This Row],[Norm (m2/uur) werkdagen]],0)</f>
        <v>0</v>
      </c>
      <c r="X796" s="243">
        <f>Ruimtestaat[[#This Row],[uren / jaar werkdagen]]*Tariefsopbouw!$D$38</f>
        <v>0</v>
      </c>
      <c r="Y796" s="33"/>
      <c r="Z796" s="33">
        <f>IF(Ruimtestaat[[#This Row],[Frequentie weekend]]&gt;0,VALUE(LEFT(Y796,1))*R796,0)</f>
        <v>0</v>
      </c>
      <c r="AA796" s="33">
        <f>IF($Z796&gt;0,VLOOKUP($J796,Ruimtegroepen[],3,FALSE)*VLOOKUP($L796,Vloersoorten[],3,FALSE)*VLOOKUP($Y796,Frequenties[],3,FALSE)*VLOOKUP(#REF!,Locaties[],3,FALSE),0)</f>
        <v>0</v>
      </c>
      <c r="AB796" s="33"/>
      <c r="AC796" s="33"/>
      <c r="AD796" s="33">
        <f>Ruimtestaat[[#This Row],[uren / jaar weekend]]*Tariefsopbouw!$D$40</f>
        <v>0</v>
      </c>
      <c r="AE796" s="86">
        <f>Ruimtestaat[[#This Row],[Prest. (m2 /jaar) weekend]]+Ruimtestaat[[#This Row],[Prest. (m2 /jaar) werkdagen]]</f>
        <v>699.72</v>
      </c>
      <c r="AF796" s="86">
        <f>Ruimtestaat[[#This Row],[uren / jaar weekend]]+Ruimtestaat[[#This Row],[uren / jaar werkdagen]]</f>
        <v>0</v>
      </c>
      <c r="AG796" s="87">
        <f>Ruimtestaat[[#This Row],[kosten / jaar weekend]]+Ruimtestaat[[#This Row],[kosten / jaar werkdagen]]</f>
        <v>0</v>
      </c>
    </row>
    <row r="797" spans="1:33" ht="15" customHeight="1">
      <c r="A797" s="187">
        <v>6</v>
      </c>
      <c r="B797" s="21" t="str">
        <f>VLOOKUP(Ruimtestaat[[#This Row],[Code]],Locaties[#All],2,FALSE)</f>
        <v>De Thij</v>
      </c>
      <c r="C797" s="247" t="str">
        <f>VLOOKUP(Ruimtestaat[[#This Row],[Code]],Locaties[#All],4,FALSE)</f>
        <v>Thijlaan 30</v>
      </c>
      <c r="D797" s="247" t="str">
        <f>VLOOKUP(Ruimtestaat[[#This Row],[Code]],Locaties[#All],5,FALSE)</f>
        <v>7576 ZB</v>
      </c>
      <c r="E797" s="187" t="str">
        <f>VLOOKUP(Ruimtestaat[[#This Row],[Code]],Locaties[#All],6,FALSE)</f>
        <v>Oldenzaal</v>
      </c>
      <c r="F797" s="248"/>
      <c r="G797" s="246">
        <v>1</v>
      </c>
      <c r="H797" s="246" t="s">
        <v>603</v>
      </c>
      <c r="I797" s="248" t="s">
        <v>843</v>
      </c>
      <c r="J797" s="187">
        <v>14</v>
      </c>
      <c r="K797" s="187" t="str">
        <f>VLOOKUP(Ruimtestaat[[#This Row],[Ruimte code]],Ruimtegroepen[#All],2,FALSE)</f>
        <v>Praktijklokalen/kabinet</v>
      </c>
      <c r="L797" s="247" t="s">
        <v>677</v>
      </c>
      <c r="M797" s="246" t="s">
        <v>270</v>
      </c>
      <c r="N797" s="200">
        <v>91.66</v>
      </c>
      <c r="O797" s="200"/>
      <c r="P797" s="231" t="str">
        <f>VLOOKUP(Ruimtestaat[[#This Row],[Ruimte code]],Ruimtegroepen[#All],4,FALSE)</f>
        <v>L  (Lesruimte)</v>
      </c>
      <c r="Q797" s="201"/>
      <c r="R797" s="202">
        <v>42</v>
      </c>
      <c r="S797" s="202" t="s">
        <v>2</v>
      </c>
      <c r="T797" s="202">
        <f>IF(R797&gt;0,IF(RIGHT(Ruimtestaat[[#This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97" s="202">
        <f>IF(T797&gt;0,VLOOKUP($J797,Ruimtegroepen[],3,FALSE)*VLOOKUP($L797,Vloersoorten[],3,FALSE)*VLOOKUP($S797,Frequenties[],3,FALSE)*VLOOKUP($A797,Locaties[],3,FALSE),0)</f>
        <v>0</v>
      </c>
      <c r="V797" s="202">
        <f>Ruimtestaat[[#This Row],[Uitvoeringen werkdagen]]*Ruimtestaat[[#This Row],[Oppervlak (netto)]]</f>
        <v>19248.599999999999</v>
      </c>
      <c r="W797" s="242">
        <f>IF(U797&gt;0,Ruimtestaat[[#This Row],[Prest. (m2 /jaar) werkdagen]]/Ruimtestaat[[#This Row],[Norm (m2/uur) werkdagen]],0)</f>
        <v>0</v>
      </c>
      <c r="X797" s="243">
        <f>Ruimtestaat[[#This Row],[uren / jaar werkdagen]]*Tariefsopbouw!$D$38</f>
        <v>0</v>
      </c>
      <c r="Y797" s="33"/>
      <c r="Z797" s="33">
        <f>IF(Ruimtestaat[[#This Row],[Frequentie weekend]]&gt;0,VALUE(LEFT(Y797,1))*R797,0)</f>
        <v>0</v>
      </c>
      <c r="AA797" s="33">
        <f>IF($Z797&gt;0,VLOOKUP($J797,Ruimtegroepen[],3,FALSE)*VLOOKUP($L797,Vloersoorten[],3,FALSE)*VLOOKUP($Y797,Frequenties[],3,FALSE)*VLOOKUP(#REF!,Locaties[],3,FALSE),0)</f>
        <v>0</v>
      </c>
      <c r="AB797" s="33"/>
      <c r="AC797" s="33"/>
      <c r="AD797" s="33">
        <f>Ruimtestaat[[#This Row],[uren / jaar weekend]]*Tariefsopbouw!$D$40</f>
        <v>0</v>
      </c>
      <c r="AE797" s="86">
        <f>Ruimtestaat[[#This Row],[Prest. (m2 /jaar) weekend]]+Ruimtestaat[[#This Row],[Prest. (m2 /jaar) werkdagen]]</f>
        <v>19248.599999999999</v>
      </c>
      <c r="AF797" s="86">
        <f>Ruimtestaat[[#This Row],[uren / jaar weekend]]+Ruimtestaat[[#This Row],[uren / jaar werkdagen]]</f>
        <v>0</v>
      </c>
      <c r="AG797" s="87">
        <f>Ruimtestaat[[#This Row],[kosten / jaar weekend]]+Ruimtestaat[[#This Row],[kosten / jaar werkdagen]]</f>
        <v>0</v>
      </c>
    </row>
    <row r="798" spans="1:33" ht="15" customHeight="1">
      <c r="A798" s="187">
        <v>6</v>
      </c>
      <c r="B798" s="21" t="str">
        <f>VLOOKUP(Ruimtestaat[[#This Row],[Code]],Locaties[#All],2,FALSE)</f>
        <v>De Thij</v>
      </c>
      <c r="C798" s="247" t="str">
        <f>VLOOKUP(Ruimtestaat[[#This Row],[Code]],Locaties[#All],4,FALSE)</f>
        <v>Thijlaan 30</v>
      </c>
      <c r="D798" s="247" t="str">
        <f>VLOOKUP(Ruimtestaat[[#This Row],[Code]],Locaties[#All],5,FALSE)</f>
        <v>7576 ZB</v>
      </c>
      <c r="E798" s="187" t="str">
        <f>VLOOKUP(Ruimtestaat[[#This Row],[Code]],Locaties[#All],6,FALSE)</f>
        <v>Oldenzaal</v>
      </c>
      <c r="F798" s="248"/>
      <c r="G798" s="246">
        <v>1</v>
      </c>
      <c r="H798" s="246" t="s">
        <v>492</v>
      </c>
      <c r="I798" s="248" t="s">
        <v>844</v>
      </c>
      <c r="J798" s="187">
        <v>14</v>
      </c>
      <c r="K798" s="187" t="str">
        <f>VLOOKUP(Ruimtestaat[[#This Row],[Ruimte code]],Ruimtegroepen[#All],2,FALSE)</f>
        <v>Praktijklokalen/kabinet</v>
      </c>
      <c r="L798" s="247" t="s">
        <v>677</v>
      </c>
      <c r="M798" s="246" t="s">
        <v>270</v>
      </c>
      <c r="N798" s="200">
        <v>77.87</v>
      </c>
      <c r="O798" s="200"/>
      <c r="P798" s="231" t="str">
        <f>VLOOKUP(Ruimtestaat[[#This Row],[Ruimte code]],Ruimtegroepen[#All],4,FALSE)</f>
        <v>L  (Lesruimte)</v>
      </c>
      <c r="Q798" s="201"/>
      <c r="R798" s="202">
        <v>42</v>
      </c>
      <c r="S798" s="202" t="s">
        <v>2</v>
      </c>
      <c r="T798" s="202">
        <f>IF(R798&gt;0,IF(RIGHT(Ruimtestaat[[#This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98" s="202">
        <f>IF(T798&gt;0,VLOOKUP($J798,Ruimtegroepen[],3,FALSE)*VLOOKUP($L798,Vloersoorten[],3,FALSE)*VLOOKUP($S798,Frequenties[],3,FALSE)*VLOOKUP($A798,Locaties[],3,FALSE),0)</f>
        <v>0</v>
      </c>
      <c r="V798" s="202">
        <f>Ruimtestaat[[#This Row],[Uitvoeringen werkdagen]]*Ruimtestaat[[#This Row],[Oppervlak (netto)]]</f>
        <v>16352.7</v>
      </c>
      <c r="W798" s="242">
        <f>IF(U798&gt;0,Ruimtestaat[[#This Row],[Prest. (m2 /jaar) werkdagen]]/Ruimtestaat[[#This Row],[Norm (m2/uur) werkdagen]],0)</f>
        <v>0</v>
      </c>
      <c r="X798" s="243">
        <f>Ruimtestaat[[#This Row],[uren / jaar werkdagen]]*Tariefsopbouw!$D$38</f>
        <v>0</v>
      </c>
      <c r="Y798" s="33"/>
      <c r="Z798" s="33">
        <f>IF(Ruimtestaat[[#This Row],[Frequentie weekend]]&gt;0,VALUE(LEFT(Y798,1))*R798,0)</f>
        <v>0</v>
      </c>
      <c r="AA798" s="33">
        <f>IF($Z798&gt;0,VLOOKUP($J798,Ruimtegroepen[],3,FALSE)*VLOOKUP($L798,Vloersoorten[],3,FALSE)*VLOOKUP($Y798,Frequenties[],3,FALSE)*VLOOKUP(#REF!,Locaties[],3,FALSE),0)</f>
        <v>0</v>
      </c>
      <c r="AB798" s="33"/>
      <c r="AC798" s="33"/>
      <c r="AD798" s="33">
        <f>Ruimtestaat[[#This Row],[uren / jaar weekend]]*Tariefsopbouw!$D$40</f>
        <v>0</v>
      </c>
      <c r="AE798" s="86">
        <f>Ruimtestaat[[#This Row],[Prest. (m2 /jaar) weekend]]+Ruimtestaat[[#This Row],[Prest. (m2 /jaar) werkdagen]]</f>
        <v>16352.7</v>
      </c>
      <c r="AF798" s="86">
        <f>Ruimtestaat[[#This Row],[uren / jaar weekend]]+Ruimtestaat[[#This Row],[uren / jaar werkdagen]]</f>
        <v>0</v>
      </c>
      <c r="AG798" s="87">
        <f>Ruimtestaat[[#This Row],[kosten / jaar weekend]]+Ruimtestaat[[#This Row],[kosten / jaar werkdagen]]</f>
        <v>0</v>
      </c>
    </row>
    <row r="799" spans="1:33" ht="15" customHeight="1">
      <c r="A799" s="187">
        <v>6</v>
      </c>
      <c r="B799" s="21" t="str">
        <f>VLOOKUP(Ruimtestaat[[#This Row],[Code]],Locaties[#All],2,FALSE)</f>
        <v>De Thij</v>
      </c>
      <c r="C799" s="247" t="str">
        <f>VLOOKUP(Ruimtestaat[[#This Row],[Code]],Locaties[#All],4,FALSE)</f>
        <v>Thijlaan 30</v>
      </c>
      <c r="D799" s="247" t="str">
        <f>VLOOKUP(Ruimtestaat[[#This Row],[Code]],Locaties[#All],5,FALSE)</f>
        <v>7576 ZB</v>
      </c>
      <c r="E799" s="187" t="str">
        <f>VLOOKUP(Ruimtestaat[[#This Row],[Code]],Locaties[#All],6,FALSE)</f>
        <v>Oldenzaal</v>
      </c>
      <c r="F799" s="248"/>
      <c r="G799" s="246">
        <v>1</v>
      </c>
      <c r="H799" s="246" t="s">
        <v>493</v>
      </c>
      <c r="I799" s="248" t="s">
        <v>655</v>
      </c>
      <c r="J799" s="247">
        <v>14</v>
      </c>
      <c r="K799" s="247" t="str">
        <f>VLOOKUP(Ruimtestaat[[#This Row],[Ruimte code]],Ruimtegroepen[#All],2,FALSE)</f>
        <v>Praktijklokalen/kabinet</v>
      </c>
      <c r="L799" s="247" t="s">
        <v>677</v>
      </c>
      <c r="M799" s="246" t="s">
        <v>270</v>
      </c>
      <c r="N799" s="200">
        <v>134.16</v>
      </c>
      <c r="O799" s="200"/>
      <c r="P799" s="231" t="str">
        <f>VLOOKUP(Ruimtestaat[[#This Row],[Ruimte code]],Ruimtegroepen[#All],4,FALSE)</f>
        <v>L  (Lesruimte)</v>
      </c>
      <c r="Q799" s="201"/>
      <c r="R799" s="202">
        <v>42</v>
      </c>
      <c r="S799" s="202" t="s">
        <v>2</v>
      </c>
      <c r="T799" s="202">
        <f>IF(R799&gt;0,IF(RIGHT(Ruimtestaat[[#This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799" s="202">
        <f>IF(T799&gt;0,VLOOKUP($J799,Ruimtegroepen[],3,FALSE)*VLOOKUP($L799,Vloersoorten[],3,FALSE)*VLOOKUP($S799,Frequenties[],3,FALSE)*VLOOKUP($A799,Locaties[],3,FALSE),0)</f>
        <v>0</v>
      </c>
      <c r="V799" s="202">
        <f>Ruimtestaat[[#This Row],[Uitvoeringen werkdagen]]*Ruimtestaat[[#This Row],[Oppervlak (netto)]]</f>
        <v>28173.599999999999</v>
      </c>
      <c r="W799" s="242">
        <f>IF(U799&gt;0,Ruimtestaat[[#This Row],[Prest. (m2 /jaar) werkdagen]]/Ruimtestaat[[#This Row],[Norm (m2/uur) werkdagen]],0)</f>
        <v>0</v>
      </c>
      <c r="X799" s="243">
        <f>Ruimtestaat[[#This Row],[uren / jaar werkdagen]]*Tariefsopbouw!$D$38</f>
        <v>0</v>
      </c>
      <c r="Y799" s="33"/>
      <c r="Z799" s="33">
        <f>IF(Ruimtestaat[[#This Row],[Frequentie weekend]]&gt;0,VALUE(LEFT(Y799,1))*R799,0)</f>
        <v>0</v>
      </c>
      <c r="AA799" s="33">
        <f>IF($Z799&gt;0,VLOOKUP($J799,Ruimtegroepen[],3,FALSE)*VLOOKUP($L799,Vloersoorten[],3,FALSE)*VLOOKUP($Y799,Frequenties[],3,FALSE)*VLOOKUP(#REF!,Locaties[],3,FALSE),0)</f>
        <v>0</v>
      </c>
      <c r="AB799" s="33"/>
      <c r="AC799" s="33"/>
      <c r="AD799" s="33">
        <f>Ruimtestaat[[#This Row],[uren / jaar weekend]]*Tariefsopbouw!$D$40</f>
        <v>0</v>
      </c>
      <c r="AE799" s="86">
        <f>Ruimtestaat[[#This Row],[Prest. (m2 /jaar) weekend]]+Ruimtestaat[[#This Row],[Prest. (m2 /jaar) werkdagen]]</f>
        <v>28173.599999999999</v>
      </c>
      <c r="AF799" s="86">
        <f>Ruimtestaat[[#This Row],[uren / jaar weekend]]+Ruimtestaat[[#This Row],[uren / jaar werkdagen]]</f>
        <v>0</v>
      </c>
      <c r="AG799" s="87">
        <f>Ruimtestaat[[#This Row],[kosten / jaar weekend]]+Ruimtestaat[[#This Row],[kosten / jaar werkdagen]]</f>
        <v>0</v>
      </c>
    </row>
    <row r="800" spans="1:33" ht="15" customHeight="1">
      <c r="A800" s="187">
        <v>6</v>
      </c>
      <c r="B800" s="21" t="str">
        <f>VLOOKUP(Ruimtestaat[[#This Row],[Code]],Locaties[#All],2,FALSE)</f>
        <v>De Thij</v>
      </c>
      <c r="C800" s="247" t="str">
        <f>VLOOKUP(Ruimtestaat[[#This Row],[Code]],Locaties[#All],4,FALSE)</f>
        <v>Thijlaan 30</v>
      </c>
      <c r="D800" s="247" t="str">
        <f>VLOOKUP(Ruimtestaat[[#This Row],[Code]],Locaties[#All],5,FALSE)</f>
        <v>7576 ZB</v>
      </c>
      <c r="E800" s="187" t="str">
        <f>VLOOKUP(Ruimtestaat[[#This Row],[Code]],Locaties[#All],6,FALSE)</f>
        <v>Oldenzaal</v>
      </c>
      <c r="F800" s="248"/>
      <c r="G800" s="246">
        <v>1</v>
      </c>
      <c r="H800" s="246" t="s">
        <v>494</v>
      </c>
      <c r="I800" s="248" t="s">
        <v>845</v>
      </c>
      <c r="J800" s="187">
        <v>14</v>
      </c>
      <c r="K800" s="187" t="str">
        <f>VLOOKUP(Ruimtestaat[[#This Row],[Ruimte code]],Ruimtegroepen[#All],2,FALSE)</f>
        <v>Praktijklokalen/kabinet</v>
      </c>
      <c r="L800" s="247" t="s">
        <v>677</v>
      </c>
      <c r="M800" s="246" t="s">
        <v>270</v>
      </c>
      <c r="N800" s="200">
        <v>77.849999999999994</v>
      </c>
      <c r="O800" s="200"/>
      <c r="P800" s="231" t="str">
        <f>VLOOKUP(Ruimtestaat[[#This Row],[Ruimte code]],Ruimtegroepen[#All],4,FALSE)</f>
        <v>L  (Lesruimte)</v>
      </c>
      <c r="Q800" s="201"/>
      <c r="R800" s="202">
        <v>42</v>
      </c>
      <c r="S800" s="202" t="s">
        <v>2</v>
      </c>
      <c r="T800" s="202">
        <f>IF(R800&gt;0,IF(RIGHT(Ruimtestaat[[#This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00" s="202">
        <f>IF(T800&gt;0,VLOOKUP($J800,Ruimtegroepen[],3,FALSE)*VLOOKUP($L800,Vloersoorten[],3,FALSE)*VLOOKUP($S800,Frequenties[],3,FALSE)*VLOOKUP($A800,Locaties[],3,FALSE),0)</f>
        <v>0</v>
      </c>
      <c r="V800" s="202">
        <f>Ruimtestaat[[#This Row],[Uitvoeringen werkdagen]]*Ruimtestaat[[#This Row],[Oppervlak (netto)]]</f>
        <v>16348.499999999998</v>
      </c>
      <c r="W800" s="242">
        <f>IF(U800&gt;0,Ruimtestaat[[#This Row],[Prest. (m2 /jaar) werkdagen]]/Ruimtestaat[[#This Row],[Norm (m2/uur) werkdagen]],0)</f>
        <v>0</v>
      </c>
      <c r="X800" s="243">
        <f>Ruimtestaat[[#This Row],[uren / jaar werkdagen]]*Tariefsopbouw!$D$38</f>
        <v>0</v>
      </c>
      <c r="Y800" s="33"/>
      <c r="Z800" s="33">
        <f>IF(Ruimtestaat[[#This Row],[Frequentie weekend]]&gt;0,VALUE(LEFT(Y800,1))*R800,0)</f>
        <v>0</v>
      </c>
      <c r="AA800" s="33">
        <f>IF($Z800&gt;0,VLOOKUP($J800,Ruimtegroepen[],3,FALSE)*VLOOKUP($L800,Vloersoorten[],3,FALSE)*VLOOKUP($Y800,Frequenties[],3,FALSE)*VLOOKUP(#REF!,Locaties[],3,FALSE),0)</f>
        <v>0</v>
      </c>
      <c r="AB800" s="33"/>
      <c r="AC800" s="33"/>
      <c r="AD800" s="33">
        <f>Ruimtestaat[[#This Row],[uren / jaar weekend]]*Tariefsopbouw!$D$40</f>
        <v>0</v>
      </c>
      <c r="AE800" s="86">
        <f>Ruimtestaat[[#This Row],[Prest. (m2 /jaar) weekend]]+Ruimtestaat[[#This Row],[Prest. (m2 /jaar) werkdagen]]</f>
        <v>16348.499999999998</v>
      </c>
      <c r="AF800" s="86">
        <f>Ruimtestaat[[#This Row],[uren / jaar weekend]]+Ruimtestaat[[#This Row],[uren / jaar werkdagen]]</f>
        <v>0</v>
      </c>
      <c r="AG800" s="87">
        <f>Ruimtestaat[[#This Row],[kosten / jaar weekend]]+Ruimtestaat[[#This Row],[kosten / jaar werkdagen]]</f>
        <v>0</v>
      </c>
    </row>
    <row r="801" spans="1:33" ht="15" customHeight="1">
      <c r="A801" s="187">
        <v>6</v>
      </c>
      <c r="B801" s="21" t="str">
        <f>VLOOKUP(Ruimtestaat[[#This Row],[Code]],Locaties[#All],2,FALSE)</f>
        <v>De Thij</v>
      </c>
      <c r="C801" s="247" t="str">
        <f>VLOOKUP(Ruimtestaat[[#This Row],[Code]],Locaties[#All],4,FALSE)</f>
        <v>Thijlaan 30</v>
      </c>
      <c r="D801" s="247" t="str">
        <f>VLOOKUP(Ruimtestaat[[#This Row],[Code]],Locaties[#All],5,FALSE)</f>
        <v>7576 ZB</v>
      </c>
      <c r="E801" s="187" t="str">
        <f>VLOOKUP(Ruimtestaat[[#This Row],[Code]],Locaties[#All],6,FALSE)</f>
        <v>Oldenzaal</v>
      </c>
      <c r="F801" s="248"/>
      <c r="G801" s="246">
        <v>1</v>
      </c>
      <c r="H801" s="246" t="s">
        <v>495</v>
      </c>
      <c r="I801" s="248" t="s">
        <v>442</v>
      </c>
      <c r="J801" s="247">
        <v>1</v>
      </c>
      <c r="K801" s="247" t="str">
        <f>VLOOKUP(Ruimtestaat[[#This Row],[Ruimte code]],Ruimtegroepen[#All],2,FALSE)</f>
        <v>Magazijnen/bergingen</v>
      </c>
      <c r="L801" s="247" t="s">
        <v>677</v>
      </c>
      <c r="M801" s="246" t="s">
        <v>270</v>
      </c>
      <c r="N801" s="200">
        <v>6.96</v>
      </c>
      <c r="O801" s="200"/>
      <c r="P801" s="231" t="str">
        <f>VLOOKUP(Ruimtestaat[[#This Row],[Ruimte code]],Ruimtegroepen[#All],4,FALSE)</f>
        <v>V  (Verkeersruimte)</v>
      </c>
      <c r="Q801" s="201"/>
      <c r="R801" s="202">
        <v>42</v>
      </c>
      <c r="S801" s="202" t="s">
        <v>15</v>
      </c>
      <c r="T801" s="202">
        <f>IF(R801&gt;0,IF(RIGHT(Ruimtestaat[[#This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801" s="202">
        <f>IF(T801&gt;0,VLOOKUP($J801,Ruimtegroepen[],3,FALSE)*VLOOKUP($L801,Vloersoorten[],3,FALSE)*VLOOKUP($S801,Frequenties[],3,FALSE)*VLOOKUP($A801,Locaties[],3,FALSE),0)</f>
        <v>0</v>
      </c>
      <c r="V801" s="202">
        <f>Ruimtestaat[[#This Row],[Uitvoeringen werkdagen]]*Ruimtestaat[[#This Row],[Oppervlak (netto)]]</f>
        <v>292.32</v>
      </c>
      <c r="W801" s="242">
        <f>IF(U801&gt;0,Ruimtestaat[[#This Row],[Prest. (m2 /jaar) werkdagen]]/Ruimtestaat[[#This Row],[Norm (m2/uur) werkdagen]],0)</f>
        <v>0</v>
      </c>
      <c r="X801" s="243">
        <f>Ruimtestaat[[#This Row],[uren / jaar werkdagen]]*Tariefsopbouw!$D$38</f>
        <v>0</v>
      </c>
      <c r="Y801" s="33"/>
      <c r="Z801" s="33">
        <f>IF(Ruimtestaat[[#This Row],[Frequentie weekend]]&gt;0,VALUE(LEFT(Y801,1))*R801,0)</f>
        <v>0</v>
      </c>
      <c r="AA801" s="33">
        <f>IF($Z801&gt;0,VLOOKUP($J801,Ruimtegroepen[],3,FALSE)*VLOOKUP($L801,Vloersoorten[],3,FALSE)*VLOOKUP($Y801,Frequenties[],3,FALSE)*VLOOKUP(#REF!,Locaties[],3,FALSE),0)</f>
        <v>0</v>
      </c>
      <c r="AB801" s="33"/>
      <c r="AC801" s="33"/>
      <c r="AD801" s="33">
        <f>Ruimtestaat[[#This Row],[uren / jaar weekend]]*Tariefsopbouw!$D$40</f>
        <v>0</v>
      </c>
      <c r="AE801" s="86">
        <f>Ruimtestaat[[#This Row],[Prest. (m2 /jaar) weekend]]+Ruimtestaat[[#This Row],[Prest. (m2 /jaar) werkdagen]]</f>
        <v>292.32</v>
      </c>
      <c r="AF801" s="86">
        <f>Ruimtestaat[[#This Row],[uren / jaar weekend]]+Ruimtestaat[[#This Row],[uren / jaar werkdagen]]</f>
        <v>0</v>
      </c>
      <c r="AG801" s="87">
        <f>Ruimtestaat[[#This Row],[kosten / jaar weekend]]+Ruimtestaat[[#This Row],[kosten / jaar werkdagen]]</f>
        <v>0</v>
      </c>
    </row>
    <row r="802" spans="1:33" ht="15" customHeight="1">
      <c r="A802" s="187">
        <v>6</v>
      </c>
      <c r="B802" s="21" t="str">
        <f>VLOOKUP(Ruimtestaat[[#This Row],[Code]],Locaties[#All],2,FALSE)</f>
        <v>De Thij</v>
      </c>
      <c r="C802" s="247" t="str">
        <f>VLOOKUP(Ruimtestaat[[#This Row],[Code]],Locaties[#All],4,FALSE)</f>
        <v>Thijlaan 30</v>
      </c>
      <c r="D802" s="247" t="str">
        <f>VLOOKUP(Ruimtestaat[[#This Row],[Code]],Locaties[#All],5,FALSE)</f>
        <v>7576 ZB</v>
      </c>
      <c r="E802" s="187" t="str">
        <f>VLOOKUP(Ruimtestaat[[#This Row],[Code]],Locaties[#All],6,FALSE)</f>
        <v>Oldenzaal</v>
      </c>
      <c r="F802" s="248"/>
      <c r="G802" s="246">
        <v>1</v>
      </c>
      <c r="H802" s="246" t="s">
        <v>496</v>
      </c>
      <c r="I802" s="248" t="s">
        <v>656</v>
      </c>
      <c r="J802" s="187">
        <v>14</v>
      </c>
      <c r="K802" s="187" t="str">
        <f>VLOOKUP(Ruimtestaat[[#This Row],[Ruimte code]],Ruimtegroepen[#All],2,FALSE)</f>
        <v>Praktijklokalen/kabinet</v>
      </c>
      <c r="L802" s="247" t="s">
        <v>677</v>
      </c>
      <c r="M802" s="246" t="s">
        <v>270</v>
      </c>
      <c r="N802" s="200">
        <v>63.94</v>
      </c>
      <c r="O802" s="200"/>
      <c r="P802" s="231" t="str">
        <f>VLOOKUP(Ruimtestaat[[#This Row],[Ruimte code]],Ruimtegroepen[#All],4,FALSE)</f>
        <v>L  (Lesruimte)</v>
      </c>
      <c r="Q802" s="201"/>
      <c r="R802" s="202">
        <v>42</v>
      </c>
      <c r="S802" s="202" t="s">
        <v>2</v>
      </c>
      <c r="T802" s="202">
        <f>IF(R802&gt;0,IF(RIGHT(Ruimtestaat[[#This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02" s="202">
        <f>IF(T802&gt;0,VLOOKUP($J802,Ruimtegroepen[],3,FALSE)*VLOOKUP($L802,Vloersoorten[],3,FALSE)*VLOOKUP($S802,Frequenties[],3,FALSE)*VLOOKUP($A802,Locaties[],3,FALSE),0)</f>
        <v>0</v>
      </c>
      <c r="V802" s="202">
        <f>Ruimtestaat[[#This Row],[Uitvoeringen werkdagen]]*Ruimtestaat[[#This Row],[Oppervlak (netto)]]</f>
        <v>13427.4</v>
      </c>
      <c r="W802" s="242">
        <f>IF(U802&gt;0,Ruimtestaat[[#This Row],[Prest. (m2 /jaar) werkdagen]]/Ruimtestaat[[#This Row],[Norm (m2/uur) werkdagen]],0)</f>
        <v>0</v>
      </c>
      <c r="X802" s="243">
        <f>Ruimtestaat[[#This Row],[uren / jaar werkdagen]]*Tariefsopbouw!$D$38</f>
        <v>0</v>
      </c>
      <c r="Y802" s="33"/>
      <c r="Z802" s="33">
        <f>IF(Ruimtestaat[[#This Row],[Frequentie weekend]]&gt;0,VALUE(LEFT(Y802,1))*R802,0)</f>
        <v>0</v>
      </c>
      <c r="AA802" s="33">
        <f>IF($Z802&gt;0,VLOOKUP($J802,Ruimtegroepen[],3,FALSE)*VLOOKUP($L802,Vloersoorten[],3,FALSE)*VLOOKUP($Y802,Frequenties[],3,FALSE)*VLOOKUP(#REF!,Locaties[],3,FALSE),0)</f>
        <v>0</v>
      </c>
      <c r="AB802" s="33"/>
      <c r="AC802" s="33"/>
      <c r="AD802" s="33">
        <f>Ruimtestaat[[#This Row],[uren / jaar weekend]]*Tariefsopbouw!$D$40</f>
        <v>0</v>
      </c>
      <c r="AE802" s="86">
        <f>Ruimtestaat[[#This Row],[Prest. (m2 /jaar) weekend]]+Ruimtestaat[[#This Row],[Prest. (m2 /jaar) werkdagen]]</f>
        <v>13427.4</v>
      </c>
      <c r="AF802" s="86">
        <f>Ruimtestaat[[#This Row],[uren / jaar weekend]]+Ruimtestaat[[#This Row],[uren / jaar werkdagen]]</f>
        <v>0</v>
      </c>
      <c r="AG802" s="87">
        <f>Ruimtestaat[[#This Row],[kosten / jaar weekend]]+Ruimtestaat[[#This Row],[kosten / jaar werkdagen]]</f>
        <v>0</v>
      </c>
    </row>
    <row r="803" spans="1:33" ht="15" customHeight="1">
      <c r="A803" s="187">
        <v>6</v>
      </c>
      <c r="B803" s="21" t="str">
        <f>VLOOKUP(Ruimtestaat[[#This Row],[Code]],Locaties[#All],2,FALSE)</f>
        <v>De Thij</v>
      </c>
      <c r="C803" s="247" t="str">
        <f>VLOOKUP(Ruimtestaat[[#This Row],[Code]],Locaties[#All],4,FALSE)</f>
        <v>Thijlaan 30</v>
      </c>
      <c r="D803" s="247" t="str">
        <f>VLOOKUP(Ruimtestaat[[#This Row],[Code]],Locaties[#All],5,FALSE)</f>
        <v>7576 ZB</v>
      </c>
      <c r="E803" s="187" t="str">
        <f>VLOOKUP(Ruimtestaat[[#This Row],[Code]],Locaties[#All],6,FALSE)</f>
        <v>Oldenzaal</v>
      </c>
      <c r="F803" s="248"/>
      <c r="G803" s="246">
        <v>1</v>
      </c>
      <c r="H803" s="246" t="s">
        <v>497</v>
      </c>
      <c r="I803" s="248" t="s">
        <v>657</v>
      </c>
      <c r="J803" s="187">
        <v>14</v>
      </c>
      <c r="K803" s="187" t="str">
        <f>VLOOKUP(Ruimtestaat[[#This Row],[Ruimte code]],Ruimtegroepen[#All],2,FALSE)</f>
        <v>Praktijklokalen/kabinet</v>
      </c>
      <c r="L803" s="247" t="s">
        <v>677</v>
      </c>
      <c r="M803" s="246" t="s">
        <v>270</v>
      </c>
      <c r="N803" s="200">
        <v>143</v>
      </c>
      <c r="O803" s="200"/>
      <c r="P803" s="231" t="str">
        <f>VLOOKUP(Ruimtestaat[[#This Row],[Ruimte code]],Ruimtegroepen[#All],4,FALSE)</f>
        <v>L  (Lesruimte)</v>
      </c>
      <c r="Q803" s="201"/>
      <c r="R803" s="202">
        <v>42</v>
      </c>
      <c r="S803" s="202" t="s">
        <v>2</v>
      </c>
      <c r="T803" s="202">
        <f>IF(R803&gt;0,IF(RIGHT(Ruimtestaat[[#This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03" s="202">
        <f>IF(T803&gt;0,VLOOKUP($J803,Ruimtegroepen[],3,FALSE)*VLOOKUP($L803,Vloersoorten[],3,FALSE)*VLOOKUP($S803,Frequenties[],3,FALSE)*VLOOKUP($A803,Locaties[],3,FALSE),0)</f>
        <v>0</v>
      </c>
      <c r="V803" s="202">
        <f>Ruimtestaat[[#This Row],[Uitvoeringen werkdagen]]*Ruimtestaat[[#This Row],[Oppervlak (netto)]]</f>
        <v>30030</v>
      </c>
      <c r="W803" s="242">
        <f>IF(U803&gt;0,Ruimtestaat[[#This Row],[Prest. (m2 /jaar) werkdagen]]/Ruimtestaat[[#This Row],[Norm (m2/uur) werkdagen]],0)</f>
        <v>0</v>
      </c>
      <c r="X803" s="243">
        <f>Ruimtestaat[[#This Row],[uren / jaar werkdagen]]*Tariefsopbouw!$D$38</f>
        <v>0</v>
      </c>
      <c r="Y803" s="33"/>
      <c r="Z803" s="33">
        <f>IF(Ruimtestaat[[#This Row],[Frequentie weekend]]&gt;0,VALUE(LEFT(Y803,1))*R803,0)</f>
        <v>0</v>
      </c>
      <c r="AA803" s="33">
        <f>IF($Z803&gt;0,VLOOKUP($J803,Ruimtegroepen[],3,FALSE)*VLOOKUP($L803,Vloersoorten[],3,FALSE)*VLOOKUP($Y803,Frequenties[],3,FALSE)*VLOOKUP(#REF!,Locaties[],3,FALSE),0)</f>
        <v>0</v>
      </c>
      <c r="AB803" s="33"/>
      <c r="AC803" s="33"/>
      <c r="AD803" s="33">
        <f>Ruimtestaat[[#This Row],[uren / jaar weekend]]*Tariefsopbouw!$D$40</f>
        <v>0</v>
      </c>
      <c r="AE803" s="86">
        <f>Ruimtestaat[[#This Row],[Prest. (m2 /jaar) weekend]]+Ruimtestaat[[#This Row],[Prest. (m2 /jaar) werkdagen]]</f>
        <v>30030</v>
      </c>
      <c r="AF803" s="86">
        <f>Ruimtestaat[[#This Row],[uren / jaar weekend]]+Ruimtestaat[[#This Row],[uren / jaar werkdagen]]</f>
        <v>0</v>
      </c>
      <c r="AG803" s="87">
        <f>Ruimtestaat[[#This Row],[kosten / jaar weekend]]+Ruimtestaat[[#This Row],[kosten / jaar werkdagen]]</f>
        <v>0</v>
      </c>
    </row>
    <row r="804" spans="1:33" ht="15" customHeight="1">
      <c r="A804" s="187">
        <v>6</v>
      </c>
      <c r="B804" s="21" t="str">
        <f>VLOOKUP(Ruimtestaat[[#This Row],[Code]],Locaties[#All],2,FALSE)</f>
        <v>De Thij</v>
      </c>
      <c r="C804" s="247" t="str">
        <f>VLOOKUP(Ruimtestaat[[#This Row],[Code]],Locaties[#All],4,FALSE)</f>
        <v>Thijlaan 30</v>
      </c>
      <c r="D804" s="247" t="str">
        <f>VLOOKUP(Ruimtestaat[[#This Row],[Code]],Locaties[#All],5,FALSE)</f>
        <v>7576 ZB</v>
      </c>
      <c r="E804" s="187" t="str">
        <f>VLOOKUP(Ruimtestaat[[#This Row],[Code]],Locaties[#All],6,FALSE)</f>
        <v>Oldenzaal</v>
      </c>
      <c r="F804" s="248"/>
      <c r="G804" s="246">
        <v>1</v>
      </c>
      <c r="H804" s="246" t="s">
        <v>498</v>
      </c>
      <c r="I804" s="248" t="s">
        <v>840</v>
      </c>
      <c r="J804" s="187">
        <v>16</v>
      </c>
      <c r="K804" s="187" t="str">
        <f>VLOOKUP(Ruimtestaat[[#This Row],[Ruimte code]],Ruimtegroepen[#All],2,FALSE)</f>
        <v>Leslokalen/computerlokaal</v>
      </c>
      <c r="L804" s="247" t="s">
        <v>677</v>
      </c>
      <c r="M804" s="246" t="s">
        <v>270</v>
      </c>
      <c r="N804" s="200">
        <v>38</v>
      </c>
      <c r="O804" s="200"/>
      <c r="P804" s="231" t="str">
        <f>VLOOKUP(Ruimtestaat[[#This Row],[Ruimte code]],Ruimtegroepen[#All],4,FALSE)</f>
        <v>L  (Lesruimte)</v>
      </c>
      <c r="Q804" s="201"/>
      <c r="R804" s="202">
        <v>42</v>
      </c>
      <c r="S804" s="202" t="s">
        <v>2</v>
      </c>
      <c r="T804" s="202">
        <f>IF(R804&gt;0,IF(RIGHT(Ruimtestaat[[#This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04" s="202">
        <f>IF(T804&gt;0,VLOOKUP($J804,Ruimtegroepen[],3,FALSE)*VLOOKUP($L804,Vloersoorten[],3,FALSE)*VLOOKUP($S804,Frequenties[],3,FALSE)*VLOOKUP($A804,Locaties[],3,FALSE),0)</f>
        <v>0</v>
      </c>
      <c r="V804" s="202">
        <f>Ruimtestaat[[#This Row],[Uitvoeringen werkdagen]]*Ruimtestaat[[#This Row],[Oppervlak (netto)]]</f>
        <v>7980</v>
      </c>
      <c r="W804" s="242">
        <f>IF(U804&gt;0,Ruimtestaat[[#This Row],[Prest. (m2 /jaar) werkdagen]]/Ruimtestaat[[#This Row],[Norm (m2/uur) werkdagen]],0)</f>
        <v>0</v>
      </c>
      <c r="X804" s="243">
        <f>Ruimtestaat[[#This Row],[uren / jaar werkdagen]]*Tariefsopbouw!$D$38</f>
        <v>0</v>
      </c>
      <c r="Y804" s="33"/>
      <c r="Z804" s="33">
        <f>IF(Ruimtestaat[[#This Row],[Frequentie weekend]]&gt;0,VALUE(LEFT(Y804,1))*R804,0)</f>
        <v>0</v>
      </c>
      <c r="AA804" s="33">
        <f>IF($Z804&gt;0,VLOOKUP($J804,Ruimtegroepen[],3,FALSE)*VLOOKUP($L804,Vloersoorten[],3,FALSE)*VLOOKUP($Y804,Frequenties[],3,FALSE)*VLOOKUP(#REF!,Locaties[],3,FALSE),0)</f>
        <v>0</v>
      </c>
      <c r="AB804" s="33"/>
      <c r="AC804" s="33"/>
      <c r="AD804" s="33">
        <f>Ruimtestaat[[#This Row],[uren / jaar weekend]]*Tariefsopbouw!$D$40</f>
        <v>0</v>
      </c>
      <c r="AE804" s="86">
        <f>Ruimtestaat[[#This Row],[Prest. (m2 /jaar) weekend]]+Ruimtestaat[[#This Row],[Prest. (m2 /jaar) werkdagen]]</f>
        <v>7980</v>
      </c>
      <c r="AF804" s="86">
        <f>Ruimtestaat[[#This Row],[uren / jaar weekend]]+Ruimtestaat[[#This Row],[uren / jaar werkdagen]]</f>
        <v>0</v>
      </c>
      <c r="AG804" s="87">
        <f>Ruimtestaat[[#This Row],[kosten / jaar weekend]]+Ruimtestaat[[#This Row],[kosten / jaar werkdagen]]</f>
        <v>0</v>
      </c>
    </row>
    <row r="805" spans="1:33" ht="15" customHeight="1">
      <c r="A805" s="187">
        <v>6</v>
      </c>
      <c r="B805" s="21" t="str">
        <f>VLOOKUP(Ruimtestaat[[#This Row],[Code]],Locaties[#All],2,FALSE)</f>
        <v>De Thij</v>
      </c>
      <c r="C805" s="247" t="str">
        <f>VLOOKUP(Ruimtestaat[[#This Row],[Code]],Locaties[#All],4,FALSE)</f>
        <v>Thijlaan 30</v>
      </c>
      <c r="D805" s="247" t="str">
        <f>VLOOKUP(Ruimtestaat[[#This Row],[Code]],Locaties[#All],5,FALSE)</f>
        <v>7576 ZB</v>
      </c>
      <c r="E805" s="187" t="str">
        <f>VLOOKUP(Ruimtestaat[[#This Row],[Code]],Locaties[#All],6,FALSE)</f>
        <v>Oldenzaal</v>
      </c>
      <c r="F805" s="248"/>
      <c r="G805" s="246">
        <v>1</v>
      </c>
      <c r="H805" s="246" t="s">
        <v>499</v>
      </c>
      <c r="I805" s="248" t="s">
        <v>372</v>
      </c>
      <c r="J805" s="187">
        <v>6</v>
      </c>
      <c r="K805" s="187" t="str">
        <f>VLOOKUP(Ruimtestaat[[#This Row],[Ruimte code]],Ruimtegroepen[#All],2,FALSE)</f>
        <v>Gangen/hallen</v>
      </c>
      <c r="L805" s="247" t="s">
        <v>677</v>
      </c>
      <c r="M805" s="246" t="s">
        <v>270</v>
      </c>
      <c r="N805" s="200">
        <v>45</v>
      </c>
      <c r="O805" s="200"/>
      <c r="P805" s="231" t="str">
        <f>VLOOKUP(Ruimtestaat[[#This Row],[Ruimte code]],Ruimtegroepen[#All],4,FALSE)</f>
        <v>V  (Verkeersruimte)</v>
      </c>
      <c r="Q805" s="201"/>
      <c r="R805" s="202">
        <v>42</v>
      </c>
      <c r="S805" s="202" t="s">
        <v>2</v>
      </c>
      <c r="T805" s="202">
        <f>IF(R805&gt;0,IF(RIGHT(Ruimtestaat[[#This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05" s="202">
        <f>IF(T805&gt;0,VLOOKUP($J805,Ruimtegroepen[],3,FALSE)*VLOOKUP($L805,Vloersoorten[],3,FALSE)*VLOOKUP($S805,Frequenties[],3,FALSE)*VLOOKUP($A805,Locaties[],3,FALSE),0)</f>
        <v>0</v>
      </c>
      <c r="V805" s="202">
        <f>Ruimtestaat[[#This Row],[Uitvoeringen werkdagen]]*Ruimtestaat[[#This Row],[Oppervlak (netto)]]</f>
        <v>9450</v>
      </c>
      <c r="W805" s="242">
        <f>IF(U805&gt;0,Ruimtestaat[[#This Row],[Prest. (m2 /jaar) werkdagen]]/Ruimtestaat[[#This Row],[Norm (m2/uur) werkdagen]],0)</f>
        <v>0</v>
      </c>
      <c r="X805" s="243">
        <f>Ruimtestaat[[#This Row],[uren / jaar werkdagen]]*Tariefsopbouw!$D$38</f>
        <v>0</v>
      </c>
      <c r="Y805" s="33"/>
      <c r="Z805" s="33">
        <f>IF(Ruimtestaat[[#This Row],[Frequentie weekend]]&gt;0,VALUE(LEFT(Y805,1))*R805,0)</f>
        <v>0</v>
      </c>
      <c r="AA805" s="33">
        <f>IF($Z805&gt;0,VLOOKUP($J805,Ruimtegroepen[],3,FALSE)*VLOOKUP($L805,Vloersoorten[],3,FALSE)*VLOOKUP($Y805,Frequenties[],3,FALSE)*VLOOKUP(#REF!,Locaties[],3,FALSE),0)</f>
        <v>0</v>
      </c>
      <c r="AB805" s="33"/>
      <c r="AC805" s="33"/>
      <c r="AD805" s="33">
        <f>Ruimtestaat[[#This Row],[uren / jaar weekend]]*Tariefsopbouw!$D$40</f>
        <v>0</v>
      </c>
      <c r="AE805" s="86">
        <f>Ruimtestaat[[#This Row],[Prest. (m2 /jaar) weekend]]+Ruimtestaat[[#This Row],[Prest. (m2 /jaar) werkdagen]]</f>
        <v>9450</v>
      </c>
      <c r="AF805" s="86">
        <f>Ruimtestaat[[#This Row],[uren / jaar weekend]]+Ruimtestaat[[#This Row],[uren / jaar werkdagen]]</f>
        <v>0</v>
      </c>
      <c r="AG805" s="87">
        <f>Ruimtestaat[[#This Row],[kosten / jaar weekend]]+Ruimtestaat[[#This Row],[kosten / jaar werkdagen]]</f>
        <v>0</v>
      </c>
    </row>
    <row r="806" spans="1:33" ht="15" customHeight="1">
      <c r="A806" s="187">
        <v>6</v>
      </c>
      <c r="B806" s="21" t="str">
        <f>VLOOKUP(Ruimtestaat[[#This Row],[Code]],Locaties[#All],2,FALSE)</f>
        <v>De Thij</v>
      </c>
      <c r="C806" s="247" t="str">
        <f>VLOOKUP(Ruimtestaat[[#This Row],[Code]],Locaties[#All],4,FALSE)</f>
        <v>Thijlaan 30</v>
      </c>
      <c r="D806" s="247" t="str">
        <f>VLOOKUP(Ruimtestaat[[#This Row],[Code]],Locaties[#All],5,FALSE)</f>
        <v>7576 ZB</v>
      </c>
      <c r="E806" s="187" t="str">
        <f>VLOOKUP(Ruimtestaat[[#This Row],[Code]],Locaties[#All],6,FALSE)</f>
        <v>Oldenzaal</v>
      </c>
      <c r="F806" s="248"/>
      <c r="G806" s="246">
        <v>1</v>
      </c>
      <c r="H806" s="246" t="s">
        <v>846</v>
      </c>
      <c r="I806" s="248" t="s">
        <v>658</v>
      </c>
      <c r="J806" s="187">
        <v>6</v>
      </c>
      <c r="K806" s="187" t="str">
        <f>VLOOKUP(Ruimtestaat[[#This Row],[Ruimte code]],Ruimtegroepen[#All],2,FALSE)</f>
        <v>Gangen/hallen</v>
      </c>
      <c r="L806" s="247" t="s">
        <v>677</v>
      </c>
      <c r="M806" s="246" t="s">
        <v>270</v>
      </c>
      <c r="N806" s="200">
        <v>107.38</v>
      </c>
      <c r="O806" s="200"/>
      <c r="P806" s="231" t="str">
        <f>VLOOKUP(Ruimtestaat[[#This Row],[Ruimte code]],Ruimtegroepen[#All],4,FALSE)</f>
        <v>V  (Verkeersruimte)</v>
      </c>
      <c r="Q806" s="201"/>
      <c r="R806" s="202">
        <v>42</v>
      </c>
      <c r="S806" s="202" t="s">
        <v>2</v>
      </c>
      <c r="T806" s="202">
        <f>IF(R806&gt;0,IF(RIGHT(Ruimtestaat[[#This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06" s="202">
        <f>IF(T806&gt;0,VLOOKUP($J806,Ruimtegroepen[],3,FALSE)*VLOOKUP($L806,Vloersoorten[],3,FALSE)*VLOOKUP($S806,Frequenties[],3,FALSE)*VLOOKUP($A806,Locaties[],3,FALSE),0)</f>
        <v>0</v>
      </c>
      <c r="V806" s="202">
        <f>Ruimtestaat[[#This Row],[Uitvoeringen werkdagen]]*Ruimtestaat[[#This Row],[Oppervlak (netto)]]</f>
        <v>22549.8</v>
      </c>
      <c r="W806" s="242">
        <f>IF(U806&gt;0,Ruimtestaat[[#This Row],[Prest. (m2 /jaar) werkdagen]]/Ruimtestaat[[#This Row],[Norm (m2/uur) werkdagen]],0)</f>
        <v>0</v>
      </c>
      <c r="X806" s="243">
        <f>Ruimtestaat[[#This Row],[uren / jaar werkdagen]]*Tariefsopbouw!$D$38</f>
        <v>0</v>
      </c>
      <c r="Y806" s="33"/>
      <c r="Z806" s="33">
        <f>IF(Ruimtestaat[[#This Row],[Frequentie weekend]]&gt;0,VALUE(LEFT(Y806,1))*R806,0)</f>
        <v>0</v>
      </c>
      <c r="AA806" s="33">
        <f>IF($Z806&gt;0,VLOOKUP($J806,Ruimtegroepen[],3,FALSE)*VLOOKUP($L806,Vloersoorten[],3,FALSE)*VLOOKUP($Y806,Frequenties[],3,FALSE)*VLOOKUP(#REF!,Locaties[],3,FALSE),0)</f>
        <v>0</v>
      </c>
      <c r="AB806" s="33"/>
      <c r="AC806" s="33"/>
      <c r="AD806" s="33">
        <f>Ruimtestaat[[#This Row],[uren / jaar weekend]]*Tariefsopbouw!$D$40</f>
        <v>0</v>
      </c>
      <c r="AE806" s="86">
        <f>Ruimtestaat[[#This Row],[Prest. (m2 /jaar) weekend]]+Ruimtestaat[[#This Row],[Prest. (m2 /jaar) werkdagen]]</f>
        <v>22549.8</v>
      </c>
      <c r="AF806" s="86">
        <f>Ruimtestaat[[#This Row],[uren / jaar weekend]]+Ruimtestaat[[#This Row],[uren / jaar werkdagen]]</f>
        <v>0</v>
      </c>
      <c r="AG806" s="87">
        <f>Ruimtestaat[[#This Row],[kosten / jaar weekend]]+Ruimtestaat[[#This Row],[kosten / jaar werkdagen]]</f>
        <v>0</v>
      </c>
    </row>
    <row r="807" spans="1:33" ht="15" customHeight="1">
      <c r="A807" s="187">
        <v>6</v>
      </c>
      <c r="B807" s="21" t="str">
        <f>VLOOKUP(Ruimtestaat[[#This Row],[Code]],Locaties[#All],2,FALSE)</f>
        <v>De Thij</v>
      </c>
      <c r="C807" s="247" t="str">
        <f>VLOOKUP(Ruimtestaat[[#This Row],[Code]],Locaties[#All],4,FALSE)</f>
        <v>Thijlaan 30</v>
      </c>
      <c r="D807" s="247" t="str">
        <f>VLOOKUP(Ruimtestaat[[#This Row],[Code]],Locaties[#All],5,FALSE)</f>
        <v>7576 ZB</v>
      </c>
      <c r="E807" s="187" t="str">
        <f>VLOOKUP(Ruimtestaat[[#This Row],[Code]],Locaties[#All],6,FALSE)</f>
        <v>Oldenzaal</v>
      </c>
      <c r="F807" s="248"/>
      <c r="G807" s="246">
        <v>1</v>
      </c>
      <c r="H807" s="246" t="s">
        <v>847</v>
      </c>
      <c r="I807" s="248" t="s">
        <v>480</v>
      </c>
      <c r="J807" s="187">
        <v>5</v>
      </c>
      <c r="K807" s="187" t="str">
        <f>VLOOKUP(Ruimtestaat[[#This Row],[Ruimte code]],Ruimtegroepen[#All],2,FALSE)</f>
        <v>Sanitair</v>
      </c>
      <c r="L807" s="202" t="s">
        <v>108</v>
      </c>
      <c r="M807" s="246" t="s">
        <v>1206</v>
      </c>
      <c r="N807" s="200">
        <v>62</v>
      </c>
      <c r="O807" s="200"/>
      <c r="P807" s="231" t="str">
        <f>VLOOKUP(Ruimtestaat[[#This Row],[Ruimte code]],Ruimtegroepen[#All],4,FALSE)</f>
        <v>S  (Sanitair)</v>
      </c>
      <c r="Q807" s="201"/>
      <c r="R807" s="202">
        <v>42</v>
      </c>
      <c r="S807" s="202" t="s">
        <v>19</v>
      </c>
      <c r="T807" s="202">
        <f>IF(R807&gt;0,IF(RIGHT(Ruimtestaat[[#This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807" s="202">
        <f>IF(T807&gt;0,VLOOKUP($J807,Ruimtegroepen[],3,FALSE)*VLOOKUP($L807,Vloersoorten[],3,FALSE)*VLOOKUP($S807,Frequenties[],3,FALSE)*VLOOKUP($A807,Locaties[],3,FALSE),0)</f>
        <v>0</v>
      </c>
      <c r="V807" s="202">
        <f>Ruimtestaat[[#This Row],[Uitvoeringen werkdagen]]*Ruimtestaat[[#This Row],[Oppervlak (netto)]]</f>
        <v>26040</v>
      </c>
      <c r="W807" s="242">
        <f>IF(U807&gt;0,Ruimtestaat[[#This Row],[Prest. (m2 /jaar) werkdagen]]/Ruimtestaat[[#This Row],[Norm (m2/uur) werkdagen]],0)</f>
        <v>0</v>
      </c>
      <c r="X807" s="243">
        <f>Ruimtestaat[[#This Row],[uren / jaar werkdagen]]*Tariefsopbouw!$D$38</f>
        <v>0</v>
      </c>
      <c r="Y807" s="33"/>
      <c r="Z807" s="33">
        <f>IF(Ruimtestaat[[#This Row],[Frequentie weekend]]&gt;0,VALUE(LEFT(Y807,1))*R807,0)</f>
        <v>0</v>
      </c>
      <c r="AA807" s="33">
        <f>IF($Z807&gt;0,VLOOKUP($J807,Ruimtegroepen[],3,FALSE)*VLOOKUP($L807,Vloersoorten[],3,FALSE)*VLOOKUP($Y807,Frequenties[],3,FALSE)*VLOOKUP(#REF!,Locaties[],3,FALSE),0)</f>
        <v>0</v>
      </c>
      <c r="AB807" s="33"/>
      <c r="AC807" s="33"/>
      <c r="AD807" s="33">
        <f>Ruimtestaat[[#This Row],[uren / jaar weekend]]*Tariefsopbouw!$D$40</f>
        <v>0</v>
      </c>
      <c r="AE807" s="86">
        <f>Ruimtestaat[[#This Row],[Prest. (m2 /jaar) weekend]]+Ruimtestaat[[#This Row],[Prest. (m2 /jaar) werkdagen]]</f>
        <v>26040</v>
      </c>
      <c r="AF807" s="86">
        <f>Ruimtestaat[[#This Row],[uren / jaar weekend]]+Ruimtestaat[[#This Row],[uren / jaar werkdagen]]</f>
        <v>0</v>
      </c>
      <c r="AG807" s="87">
        <f>Ruimtestaat[[#This Row],[kosten / jaar weekend]]+Ruimtestaat[[#This Row],[kosten / jaar werkdagen]]</f>
        <v>0</v>
      </c>
    </row>
    <row r="808" spans="1:33" ht="15" customHeight="1">
      <c r="A808" s="187">
        <v>6</v>
      </c>
      <c r="B808" s="21" t="str">
        <f>VLOOKUP(Ruimtestaat[[#This Row],[Code]],Locaties[#All],2,FALSE)</f>
        <v>De Thij</v>
      </c>
      <c r="C808" s="247" t="str">
        <f>VLOOKUP(Ruimtestaat[[#This Row],[Code]],Locaties[#All],4,FALSE)</f>
        <v>Thijlaan 30</v>
      </c>
      <c r="D808" s="247" t="str">
        <f>VLOOKUP(Ruimtestaat[[#This Row],[Code]],Locaties[#All],5,FALSE)</f>
        <v>7576 ZB</v>
      </c>
      <c r="E808" s="187" t="str">
        <f>VLOOKUP(Ruimtestaat[[#This Row],[Code]],Locaties[#All],6,FALSE)</f>
        <v>Oldenzaal</v>
      </c>
      <c r="F808" s="248"/>
      <c r="G808" s="246">
        <v>1</v>
      </c>
      <c r="H808" s="246" t="s">
        <v>847</v>
      </c>
      <c r="I808" s="248" t="s">
        <v>480</v>
      </c>
      <c r="J808" s="187">
        <v>5</v>
      </c>
      <c r="K808" s="187" t="str">
        <f>VLOOKUP(Ruimtestaat[[#This Row],[Ruimte code]],Ruimtegroepen[#All],2,FALSE)</f>
        <v>Sanitair</v>
      </c>
      <c r="L808" s="202" t="s">
        <v>108</v>
      </c>
      <c r="M808" s="246" t="s">
        <v>1206</v>
      </c>
      <c r="N808" s="200">
        <v>37</v>
      </c>
      <c r="O808" s="200"/>
      <c r="P808" s="231" t="str">
        <f>VLOOKUP(Ruimtestaat[[#This Row],[Ruimte code]],Ruimtegroepen[#All],4,FALSE)</f>
        <v>S  (Sanitair)</v>
      </c>
      <c r="Q808" s="201"/>
      <c r="R808" s="202">
        <v>42</v>
      </c>
      <c r="S808" s="202" t="s">
        <v>19</v>
      </c>
      <c r="T808" s="202">
        <f>IF(R808&gt;0,IF(RIGHT(Ruimtestaat[[#This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808" s="202">
        <f>IF(T808&gt;0,VLOOKUP($J808,Ruimtegroepen[],3,FALSE)*VLOOKUP($L808,Vloersoorten[],3,FALSE)*VLOOKUP($S808,Frequenties[],3,FALSE)*VLOOKUP($A808,Locaties[],3,FALSE),0)</f>
        <v>0</v>
      </c>
      <c r="V808" s="202">
        <f>Ruimtestaat[[#This Row],[Uitvoeringen werkdagen]]*Ruimtestaat[[#This Row],[Oppervlak (netto)]]</f>
        <v>15540</v>
      </c>
      <c r="W808" s="242">
        <f>IF(U808&gt;0,Ruimtestaat[[#This Row],[Prest. (m2 /jaar) werkdagen]]/Ruimtestaat[[#This Row],[Norm (m2/uur) werkdagen]],0)</f>
        <v>0</v>
      </c>
      <c r="X808" s="243">
        <f>Ruimtestaat[[#This Row],[uren / jaar werkdagen]]*Tariefsopbouw!$D$38</f>
        <v>0</v>
      </c>
      <c r="Y808" s="33"/>
      <c r="Z808" s="33">
        <f>IF(Ruimtestaat[[#This Row],[Frequentie weekend]]&gt;0,VALUE(LEFT(Y808,1))*R808,0)</f>
        <v>0</v>
      </c>
      <c r="AA808" s="33">
        <f>IF($Z808&gt;0,VLOOKUP($J808,Ruimtegroepen[],3,FALSE)*VLOOKUP($L808,Vloersoorten[],3,FALSE)*VLOOKUP($Y808,Frequenties[],3,FALSE)*VLOOKUP(#REF!,Locaties[],3,FALSE),0)</f>
        <v>0</v>
      </c>
      <c r="AB808" s="33"/>
      <c r="AC808" s="33"/>
      <c r="AD808" s="33">
        <f>Ruimtestaat[[#This Row],[uren / jaar weekend]]*Tariefsopbouw!$D$40</f>
        <v>0</v>
      </c>
      <c r="AE808" s="86">
        <f>Ruimtestaat[[#This Row],[Prest. (m2 /jaar) weekend]]+Ruimtestaat[[#This Row],[Prest. (m2 /jaar) werkdagen]]</f>
        <v>15540</v>
      </c>
      <c r="AF808" s="86">
        <f>Ruimtestaat[[#This Row],[uren / jaar weekend]]+Ruimtestaat[[#This Row],[uren / jaar werkdagen]]</f>
        <v>0</v>
      </c>
      <c r="AG808" s="87">
        <f>Ruimtestaat[[#This Row],[kosten / jaar weekend]]+Ruimtestaat[[#This Row],[kosten / jaar werkdagen]]</f>
        <v>0</v>
      </c>
    </row>
    <row r="809" spans="1:33" ht="15" customHeight="1">
      <c r="A809" s="187">
        <v>6</v>
      </c>
      <c r="B809" s="21" t="str">
        <f>VLOOKUP(Ruimtestaat[[#This Row],[Code]],Locaties[#All],2,FALSE)</f>
        <v>De Thij</v>
      </c>
      <c r="C809" s="247" t="str">
        <f>VLOOKUP(Ruimtestaat[[#This Row],[Code]],Locaties[#All],4,FALSE)</f>
        <v>Thijlaan 30</v>
      </c>
      <c r="D809" s="247" t="str">
        <f>VLOOKUP(Ruimtestaat[[#This Row],[Code]],Locaties[#All],5,FALSE)</f>
        <v>7576 ZB</v>
      </c>
      <c r="E809" s="187" t="str">
        <f>VLOOKUP(Ruimtestaat[[#This Row],[Code]],Locaties[#All],6,FALSE)</f>
        <v>Oldenzaal</v>
      </c>
      <c r="F809" s="248"/>
      <c r="G809" s="246">
        <v>1</v>
      </c>
      <c r="H809" s="246" t="s">
        <v>848</v>
      </c>
      <c r="I809" s="248" t="s">
        <v>442</v>
      </c>
      <c r="J809" s="187">
        <v>1</v>
      </c>
      <c r="K809" s="187" t="str">
        <f>VLOOKUP(Ruimtestaat[[#This Row],[Ruimte code]],Ruimtegroepen[#All],2,FALSE)</f>
        <v>Magazijnen/bergingen</v>
      </c>
      <c r="L809" s="247" t="s">
        <v>677</v>
      </c>
      <c r="M809" s="246" t="s">
        <v>270</v>
      </c>
      <c r="N809" s="200">
        <v>5.44</v>
      </c>
      <c r="O809" s="200"/>
      <c r="P809" s="231" t="str">
        <f>VLOOKUP(Ruimtestaat[[#This Row],[Ruimte code]],Ruimtegroepen[#All],4,FALSE)</f>
        <v>V  (Verkeersruimte)</v>
      </c>
      <c r="Q809" s="201"/>
      <c r="R809" s="202">
        <v>42</v>
      </c>
      <c r="S809" s="202" t="s">
        <v>15</v>
      </c>
      <c r="T809" s="202">
        <f>IF(R809&gt;0,IF(RIGHT(Ruimtestaat[[#This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809" s="202">
        <f>IF(T809&gt;0,VLOOKUP($J809,Ruimtegroepen[],3,FALSE)*VLOOKUP($L809,Vloersoorten[],3,FALSE)*VLOOKUP($S809,Frequenties[],3,FALSE)*VLOOKUP($A809,Locaties[],3,FALSE),0)</f>
        <v>0</v>
      </c>
      <c r="V809" s="202">
        <f>Ruimtestaat[[#This Row],[Uitvoeringen werkdagen]]*Ruimtestaat[[#This Row],[Oppervlak (netto)]]</f>
        <v>228.48000000000002</v>
      </c>
      <c r="W809" s="242">
        <f>IF(U809&gt;0,Ruimtestaat[[#This Row],[Prest. (m2 /jaar) werkdagen]]/Ruimtestaat[[#This Row],[Norm (m2/uur) werkdagen]],0)</f>
        <v>0</v>
      </c>
      <c r="X809" s="243">
        <f>Ruimtestaat[[#This Row],[uren / jaar werkdagen]]*Tariefsopbouw!$D$38</f>
        <v>0</v>
      </c>
      <c r="Y809" s="33"/>
      <c r="Z809" s="33">
        <f>IF(Ruimtestaat[[#This Row],[Frequentie weekend]]&gt;0,VALUE(LEFT(Y809,1))*R809,0)</f>
        <v>0</v>
      </c>
      <c r="AA809" s="33">
        <f>IF($Z809&gt;0,VLOOKUP($J809,Ruimtegroepen[],3,FALSE)*VLOOKUP($L809,Vloersoorten[],3,FALSE)*VLOOKUP($Y809,Frequenties[],3,FALSE)*VLOOKUP(#REF!,Locaties[],3,FALSE),0)</f>
        <v>0</v>
      </c>
      <c r="AB809" s="33"/>
      <c r="AC809" s="33"/>
      <c r="AD809" s="33">
        <f>Ruimtestaat[[#This Row],[uren / jaar weekend]]*Tariefsopbouw!$D$40</f>
        <v>0</v>
      </c>
      <c r="AE809" s="86">
        <f>Ruimtestaat[[#This Row],[Prest. (m2 /jaar) weekend]]+Ruimtestaat[[#This Row],[Prest. (m2 /jaar) werkdagen]]</f>
        <v>228.48000000000002</v>
      </c>
      <c r="AF809" s="86">
        <f>Ruimtestaat[[#This Row],[uren / jaar weekend]]+Ruimtestaat[[#This Row],[uren / jaar werkdagen]]</f>
        <v>0</v>
      </c>
      <c r="AG809" s="87">
        <f>Ruimtestaat[[#This Row],[kosten / jaar weekend]]+Ruimtestaat[[#This Row],[kosten / jaar werkdagen]]</f>
        <v>0</v>
      </c>
    </row>
    <row r="810" spans="1:33" ht="15" customHeight="1">
      <c r="A810" s="187">
        <v>6</v>
      </c>
      <c r="B810" s="21" t="str">
        <f>VLOOKUP(Ruimtestaat[[#This Row],[Code]],Locaties[#All],2,FALSE)</f>
        <v>De Thij</v>
      </c>
      <c r="C810" s="247" t="str">
        <f>VLOOKUP(Ruimtestaat[[#This Row],[Code]],Locaties[#All],4,FALSE)</f>
        <v>Thijlaan 30</v>
      </c>
      <c r="D810" s="247" t="str">
        <f>VLOOKUP(Ruimtestaat[[#This Row],[Code]],Locaties[#All],5,FALSE)</f>
        <v>7576 ZB</v>
      </c>
      <c r="E810" s="187" t="str">
        <f>VLOOKUP(Ruimtestaat[[#This Row],[Code]],Locaties[#All],6,FALSE)</f>
        <v>Oldenzaal</v>
      </c>
      <c r="F810" s="248"/>
      <c r="G810" s="246">
        <v>1</v>
      </c>
      <c r="H810" s="246" t="s">
        <v>849</v>
      </c>
      <c r="I810" s="248" t="s">
        <v>850</v>
      </c>
      <c r="J810" s="187">
        <v>20</v>
      </c>
      <c r="K810" s="187" t="str">
        <f>VLOOKUP(Ruimtestaat[[#This Row],[Ruimte code]],Ruimtegroepen[#All],2,FALSE)</f>
        <v>Niet in onderhoud</v>
      </c>
      <c r="L810" s="247"/>
      <c r="M810" s="246"/>
      <c r="N810" s="200"/>
      <c r="O810" s="200"/>
      <c r="P810" s="231" t="str">
        <f>VLOOKUP(Ruimtestaat[[#This Row],[Ruimte code]],Ruimtegroepen[#All],4,FALSE)</f>
        <v>V  (Verkeersruimte)</v>
      </c>
      <c r="Q810" s="201"/>
      <c r="R810" s="202"/>
      <c r="S810" s="202"/>
      <c r="T810" s="202">
        <f>IF(R810&gt;0,IF(RIGHT(Ruimtestaat[[#This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810" s="202">
        <f>IF(T810&gt;0,VLOOKUP($J810,Ruimtegroepen[],3,FALSE)*VLOOKUP($L810,Vloersoorten[],3,FALSE)*VLOOKUP($S810,Frequenties[],3,FALSE)*VLOOKUP($A810,Locaties[],3,FALSE),0)</f>
        <v>0</v>
      </c>
      <c r="V810" s="202">
        <f>Ruimtestaat[[#This Row],[Uitvoeringen werkdagen]]*Ruimtestaat[[#This Row],[Oppervlak (netto)]]</f>
        <v>0</v>
      </c>
      <c r="W810" s="242">
        <f>IF(U810&gt;0,Ruimtestaat[[#This Row],[Prest. (m2 /jaar) werkdagen]]/Ruimtestaat[[#This Row],[Norm (m2/uur) werkdagen]],0)</f>
        <v>0</v>
      </c>
      <c r="X810" s="243">
        <f>Ruimtestaat[[#This Row],[uren / jaar werkdagen]]*Tariefsopbouw!$D$38</f>
        <v>0</v>
      </c>
      <c r="Y810" s="33"/>
      <c r="Z810" s="33">
        <f>IF(Ruimtestaat[[#This Row],[Frequentie weekend]]&gt;0,VALUE(LEFT(Y810,1))*R810,0)</f>
        <v>0</v>
      </c>
      <c r="AA810" s="33">
        <f>IF($Z810&gt;0,VLOOKUP($J810,Ruimtegroepen[],3,FALSE)*VLOOKUP($L810,Vloersoorten[],3,FALSE)*VLOOKUP($Y810,Frequenties[],3,FALSE)*VLOOKUP(#REF!,Locaties[],3,FALSE),0)</f>
        <v>0</v>
      </c>
      <c r="AB810" s="33"/>
      <c r="AC810" s="33"/>
      <c r="AD810" s="33">
        <f>Ruimtestaat[[#This Row],[uren / jaar weekend]]*Tariefsopbouw!$D$40</f>
        <v>0</v>
      </c>
      <c r="AE810" s="86">
        <f>Ruimtestaat[[#This Row],[Prest. (m2 /jaar) weekend]]+Ruimtestaat[[#This Row],[Prest. (m2 /jaar) werkdagen]]</f>
        <v>0</v>
      </c>
      <c r="AF810" s="86">
        <f>Ruimtestaat[[#This Row],[uren / jaar weekend]]+Ruimtestaat[[#This Row],[uren / jaar werkdagen]]</f>
        <v>0</v>
      </c>
      <c r="AG810" s="87">
        <f>Ruimtestaat[[#This Row],[kosten / jaar weekend]]+Ruimtestaat[[#This Row],[kosten / jaar werkdagen]]</f>
        <v>0</v>
      </c>
    </row>
    <row r="811" spans="1:33" ht="15" customHeight="1">
      <c r="A811" s="187">
        <v>6</v>
      </c>
      <c r="B811" s="21" t="str">
        <f>VLOOKUP(Ruimtestaat[[#This Row],[Code]],Locaties[#All],2,FALSE)</f>
        <v>De Thij</v>
      </c>
      <c r="C811" s="247" t="str">
        <f>VLOOKUP(Ruimtestaat[[#This Row],[Code]],Locaties[#All],4,FALSE)</f>
        <v>Thijlaan 30</v>
      </c>
      <c r="D811" s="247" t="str">
        <f>VLOOKUP(Ruimtestaat[[#This Row],[Code]],Locaties[#All],5,FALSE)</f>
        <v>7576 ZB</v>
      </c>
      <c r="E811" s="187" t="str">
        <f>VLOOKUP(Ruimtestaat[[#This Row],[Code]],Locaties[#All],6,FALSE)</f>
        <v>Oldenzaal</v>
      </c>
      <c r="F811" s="248"/>
      <c r="G811" s="246">
        <v>1</v>
      </c>
      <c r="H811" s="246" t="s">
        <v>851</v>
      </c>
      <c r="I811" s="248" t="s">
        <v>658</v>
      </c>
      <c r="J811" s="187">
        <v>6</v>
      </c>
      <c r="K811" s="187" t="str">
        <f>VLOOKUP(Ruimtestaat[[#This Row],[Ruimte code]],Ruimtegroepen[#All],2,FALSE)</f>
        <v>Gangen/hallen</v>
      </c>
      <c r="L811" s="247" t="s">
        <v>677</v>
      </c>
      <c r="M811" s="246" t="s">
        <v>270</v>
      </c>
      <c r="N811" s="200">
        <v>131.56</v>
      </c>
      <c r="O811" s="200"/>
      <c r="P811" s="231" t="str">
        <f>VLOOKUP(Ruimtestaat[[#This Row],[Ruimte code]],Ruimtegroepen[#All],4,FALSE)</f>
        <v>V  (Verkeersruimte)</v>
      </c>
      <c r="Q811" s="201"/>
      <c r="R811" s="202">
        <v>42</v>
      </c>
      <c r="S811" s="202" t="s">
        <v>2</v>
      </c>
      <c r="T811" s="202">
        <f>IF(R811&gt;0,IF(RIGHT(Ruimtestaat[[#This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11" s="202">
        <f>IF(T811&gt;0,VLOOKUP($J811,Ruimtegroepen[],3,FALSE)*VLOOKUP($L811,Vloersoorten[],3,FALSE)*VLOOKUP($S811,Frequenties[],3,FALSE)*VLOOKUP($A811,Locaties[],3,FALSE),0)</f>
        <v>0</v>
      </c>
      <c r="V811" s="202">
        <f>Ruimtestaat[[#This Row],[Uitvoeringen werkdagen]]*Ruimtestaat[[#This Row],[Oppervlak (netto)]]</f>
        <v>27627.600000000002</v>
      </c>
      <c r="W811" s="242">
        <f>IF(U811&gt;0,Ruimtestaat[[#This Row],[Prest. (m2 /jaar) werkdagen]]/Ruimtestaat[[#This Row],[Norm (m2/uur) werkdagen]],0)</f>
        <v>0</v>
      </c>
      <c r="X811" s="243">
        <f>Ruimtestaat[[#This Row],[uren / jaar werkdagen]]*Tariefsopbouw!$D$38</f>
        <v>0</v>
      </c>
      <c r="Y811" s="33"/>
      <c r="Z811" s="33">
        <f>IF(Ruimtestaat[[#This Row],[Frequentie weekend]]&gt;0,VALUE(LEFT(Y811,1))*R811,0)</f>
        <v>0</v>
      </c>
      <c r="AA811" s="33">
        <f>IF($Z811&gt;0,VLOOKUP($J811,Ruimtegroepen[],3,FALSE)*VLOOKUP($L811,Vloersoorten[],3,FALSE)*VLOOKUP($Y811,Frequenties[],3,FALSE)*VLOOKUP(#REF!,Locaties[],3,FALSE),0)</f>
        <v>0</v>
      </c>
      <c r="AB811" s="33"/>
      <c r="AC811" s="33"/>
      <c r="AD811" s="33">
        <f>Ruimtestaat[[#This Row],[uren / jaar weekend]]*Tariefsopbouw!$D$40</f>
        <v>0</v>
      </c>
      <c r="AE811" s="86">
        <f>Ruimtestaat[[#This Row],[Prest. (m2 /jaar) weekend]]+Ruimtestaat[[#This Row],[Prest. (m2 /jaar) werkdagen]]</f>
        <v>27627.600000000002</v>
      </c>
      <c r="AF811" s="86">
        <f>Ruimtestaat[[#This Row],[uren / jaar weekend]]+Ruimtestaat[[#This Row],[uren / jaar werkdagen]]</f>
        <v>0</v>
      </c>
      <c r="AG811" s="87">
        <f>Ruimtestaat[[#This Row],[kosten / jaar weekend]]+Ruimtestaat[[#This Row],[kosten / jaar werkdagen]]</f>
        <v>0</v>
      </c>
    </row>
    <row r="812" spans="1:33" ht="15" customHeight="1">
      <c r="A812" s="187">
        <v>6</v>
      </c>
      <c r="B812" s="21" t="str">
        <f>VLOOKUP(Ruimtestaat[[#This Row],[Code]],Locaties[#All],2,FALSE)</f>
        <v>De Thij</v>
      </c>
      <c r="C812" s="247" t="str">
        <f>VLOOKUP(Ruimtestaat[[#This Row],[Code]],Locaties[#All],4,FALSE)</f>
        <v>Thijlaan 30</v>
      </c>
      <c r="D812" s="247" t="str">
        <f>VLOOKUP(Ruimtestaat[[#This Row],[Code]],Locaties[#All],5,FALSE)</f>
        <v>7576 ZB</v>
      </c>
      <c r="E812" s="187" t="str">
        <f>VLOOKUP(Ruimtestaat[[#This Row],[Code]],Locaties[#All],6,FALSE)</f>
        <v>Oldenzaal</v>
      </c>
      <c r="F812" s="248"/>
      <c r="G812" s="246">
        <v>1</v>
      </c>
      <c r="H812" s="246" t="s">
        <v>852</v>
      </c>
      <c r="I812" s="248" t="s">
        <v>596</v>
      </c>
      <c r="J812" s="187">
        <v>10</v>
      </c>
      <c r="K812" s="187" t="str">
        <f>VLOOKUP(Ruimtestaat[[#This Row],[Ruimte code]],Ruimtegroepen[#All],2,FALSE)</f>
        <v>Trappenhuizen/lift</v>
      </c>
      <c r="L812" s="247" t="s">
        <v>677</v>
      </c>
      <c r="M812" s="246" t="s">
        <v>270</v>
      </c>
      <c r="N812" s="200">
        <v>50</v>
      </c>
      <c r="O812" s="200"/>
      <c r="P812" s="231" t="str">
        <f>VLOOKUP(Ruimtestaat[[#This Row],[Ruimte code]],Ruimtegroepen[#All],4,FALSE)</f>
        <v>V  (Verkeersruimte)</v>
      </c>
      <c r="Q812" s="201"/>
      <c r="R812" s="202">
        <v>42</v>
      </c>
      <c r="S812" s="202" t="s">
        <v>2</v>
      </c>
      <c r="T812" s="202">
        <f>IF(R812&gt;0,IF(RIGHT(Ruimtestaat[[#This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12" s="202">
        <f>IF(T812&gt;0,VLOOKUP($J812,Ruimtegroepen[],3,FALSE)*VLOOKUP($L812,Vloersoorten[],3,FALSE)*VLOOKUP($S812,Frequenties[],3,FALSE)*VLOOKUP($A812,Locaties[],3,FALSE),0)</f>
        <v>0</v>
      </c>
      <c r="V812" s="202">
        <f>Ruimtestaat[[#This Row],[Uitvoeringen werkdagen]]*Ruimtestaat[[#This Row],[Oppervlak (netto)]]</f>
        <v>10500</v>
      </c>
      <c r="W812" s="242">
        <f>IF(U812&gt;0,Ruimtestaat[[#This Row],[Prest. (m2 /jaar) werkdagen]]/Ruimtestaat[[#This Row],[Norm (m2/uur) werkdagen]],0)</f>
        <v>0</v>
      </c>
      <c r="X812" s="243">
        <f>Ruimtestaat[[#This Row],[uren / jaar werkdagen]]*Tariefsopbouw!$D$38</f>
        <v>0</v>
      </c>
      <c r="Y812" s="33"/>
      <c r="Z812" s="33">
        <f>IF(Ruimtestaat[[#This Row],[Frequentie weekend]]&gt;0,VALUE(LEFT(Y812,1))*R812,0)</f>
        <v>0</v>
      </c>
      <c r="AA812" s="33">
        <f>IF($Z812&gt;0,VLOOKUP($J812,Ruimtegroepen[],3,FALSE)*VLOOKUP($L812,Vloersoorten[],3,FALSE)*VLOOKUP($Y812,Frequenties[],3,FALSE)*VLOOKUP(#REF!,Locaties[],3,FALSE),0)</f>
        <v>0</v>
      </c>
      <c r="AB812" s="33"/>
      <c r="AC812" s="33"/>
      <c r="AD812" s="33">
        <f>Ruimtestaat[[#This Row],[uren / jaar weekend]]*Tariefsopbouw!$D$40</f>
        <v>0</v>
      </c>
      <c r="AE812" s="86">
        <f>Ruimtestaat[[#This Row],[Prest. (m2 /jaar) weekend]]+Ruimtestaat[[#This Row],[Prest. (m2 /jaar) werkdagen]]</f>
        <v>10500</v>
      </c>
      <c r="AF812" s="86">
        <f>Ruimtestaat[[#This Row],[uren / jaar weekend]]+Ruimtestaat[[#This Row],[uren / jaar werkdagen]]</f>
        <v>0</v>
      </c>
      <c r="AG812" s="87">
        <f>Ruimtestaat[[#This Row],[kosten / jaar weekend]]+Ruimtestaat[[#This Row],[kosten / jaar werkdagen]]</f>
        <v>0</v>
      </c>
    </row>
    <row r="813" spans="1:33" ht="15" customHeight="1">
      <c r="A813" s="187">
        <v>6</v>
      </c>
      <c r="B813" s="21" t="str">
        <f>VLOOKUP(Ruimtestaat[[#This Row],[Code]],Locaties[#All],2,FALSE)</f>
        <v>De Thij</v>
      </c>
      <c r="C813" s="247" t="str">
        <f>VLOOKUP(Ruimtestaat[[#This Row],[Code]],Locaties[#All],4,FALSE)</f>
        <v>Thijlaan 30</v>
      </c>
      <c r="D813" s="247" t="str">
        <f>VLOOKUP(Ruimtestaat[[#This Row],[Code]],Locaties[#All],5,FALSE)</f>
        <v>7576 ZB</v>
      </c>
      <c r="E813" s="187" t="str">
        <f>VLOOKUP(Ruimtestaat[[#This Row],[Code]],Locaties[#All],6,FALSE)</f>
        <v>Oldenzaal</v>
      </c>
      <c r="F813" s="248"/>
      <c r="G813" s="246">
        <v>1</v>
      </c>
      <c r="H813" s="246" t="s">
        <v>853</v>
      </c>
      <c r="I813" s="248" t="s">
        <v>480</v>
      </c>
      <c r="J813" s="187">
        <v>5</v>
      </c>
      <c r="K813" s="187" t="str">
        <f>VLOOKUP(Ruimtestaat[[#This Row],[Ruimte code]],Ruimtegroepen[#All],2,FALSE)</f>
        <v>Sanitair</v>
      </c>
      <c r="L813" s="202" t="s">
        <v>108</v>
      </c>
      <c r="M813" s="246" t="s">
        <v>1206</v>
      </c>
      <c r="N813" s="200">
        <v>62.41</v>
      </c>
      <c r="O813" s="200"/>
      <c r="P813" s="231" t="str">
        <f>VLOOKUP(Ruimtestaat[[#This Row],[Ruimte code]],Ruimtegroepen[#All],4,FALSE)</f>
        <v>S  (Sanitair)</v>
      </c>
      <c r="Q813" s="201"/>
      <c r="R813" s="202">
        <v>42</v>
      </c>
      <c r="S813" s="202" t="s">
        <v>19</v>
      </c>
      <c r="T813" s="202">
        <f>IF(R813&gt;0,IF(RIGHT(Ruimtestaat[[#This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813" s="202">
        <f>IF(T813&gt;0,VLOOKUP($J813,Ruimtegroepen[],3,FALSE)*VLOOKUP($L813,Vloersoorten[],3,FALSE)*VLOOKUP($S813,Frequenties[],3,FALSE)*VLOOKUP($A813,Locaties[],3,FALSE),0)</f>
        <v>0</v>
      </c>
      <c r="V813" s="202">
        <f>Ruimtestaat[[#This Row],[Uitvoeringen werkdagen]]*Ruimtestaat[[#This Row],[Oppervlak (netto)]]</f>
        <v>26212.199999999997</v>
      </c>
      <c r="W813" s="242">
        <f>IF(U813&gt;0,Ruimtestaat[[#This Row],[Prest. (m2 /jaar) werkdagen]]/Ruimtestaat[[#This Row],[Norm (m2/uur) werkdagen]],0)</f>
        <v>0</v>
      </c>
      <c r="X813" s="243">
        <f>Ruimtestaat[[#This Row],[uren / jaar werkdagen]]*Tariefsopbouw!$D$38</f>
        <v>0</v>
      </c>
      <c r="Y813" s="33"/>
      <c r="Z813" s="33">
        <f>IF(Ruimtestaat[[#This Row],[Frequentie weekend]]&gt;0,VALUE(LEFT(Y813,1))*R813,0)</f>
        <v>0</v>
      </c>
      <c r="AA813" s="33">
        <f>IF($Z813&gt;0,VLOOKUP($J813,Ruimtegroepen[],3,FALSE)*VLOOKUP($L813,Vloersoorten[],3,FALSE)*VLOOKUP($Y813,Frequenties[],3,FALSE)*VLOOKUP(#REF!,Locaties[],3,FALSE),0)</f>
        <v>0</v>
      </c>
      <c r="AB813" s="33"/>
      <c r="AC813" s="33"/>
      <c r="AD813" s="33">
        <f>Ruimtestaat[[#This Row],[uren / jaar weekend]]*Tariefsopbouw!$D$40</f>
        <v>0</v>
      </c>
      <c r="AE813" s="86">
        <f>Ruimtestaat[[#This Row],[Prest. (m2 /jaar) weekend]]+Ruimtestaat[[#This Row],[Prest. (m2 /jaar) werkdagen]]</f>
        <v>26212.199999999997</v>
      </c>
      <c r="AF813" s="86">
        <f>Ruimtestaat[[#This Row],[uren / jaar weekend]]+Ruimtestaat[[#This Row],[uren / jaar werkdagen]]</f>
        <v>0</v>
      </c>
      <c r="AG813" s="87">
        <f>Ruimtestaat[[#This Row],[kosten / jaar weekend]]+Ruimtestaat[[#This Row],[kosten / jaar werkdagen]]</f>
        <v>0</v>
      </c>
    </row>
    <row r="814" spans="1:33" ht="15" customHeight="1">
      <c r="A814" s="187">
        <v>6</v>
      </c>
      <c r="B814" s="21" t="str">
        <f>VLOOKUP(Ruimtestaat[[#This Row],[Code]],Locaties[#All],2,FALSE)</f>
        <v>De Thij</v>
      </c>
      <c r="C814" s="247" t="str">
        <f>VLOOKUP(Ruimtestaat[[#This Row],[Code]],Locaties[#All],4,FALSE)</f>
        <v>Thijlaan 30</v>
      </c>
      <c r="D814" s="247" t="str">
        <f>VLOOKUP(Ruimtestaat[[#This Row],[Code]],Locaties[#All],5,FALSE)</f>
        <v>7576 ZB</v>
      </c>
      <c r="E814" s="187" t="str">
        <f>VLOOKUP(Ruimtestaat[[#This Row],[Code]],Locaties[#All],6,FALSE)</f>
        <v>Oldenzaal</v>
      </c>
      <c r="F814" s="248"/>
      <c r="G814" s="246">
        <v>1</v>
      </c>
      <c r="H814" s="246" t="s">
        <v>853</v>
      </c>
      <c r="I814" s="248" t="s">
        <v>480</v>
      </c>
      <c r="J814" s="187">
        <v>5</v>
      </c>
      <c r="K814" s="187" t="str">
        <f>VLOOKUP(Ruimtestaat[[#This Row],[Ruimte code]],Ruimtegroepen[#All],2,FALSE)</f>
        <v>Sanitair</v>
      </c>
      <c r="L814" s="202" t="s">
        <v>108</v>
      </c>
      <c r="M814" s="246" t="s">
        <v>1206</v>
      </c>
      <c r="N814" s="200">
        <v>37.130000000000003</v>
      </c>
      <c r="O814" s="200"/>
      <c r="P814" s="231" t="str">
        <f>VLOOKUP(Ruimtestaat[[#This Row],[Ruimte code]],Ruimtegroepen[#All],4,FALSE)</f>
        <v>S  (Sanitair)</v>
      </c>
      <c r="Q814" s="201"/>
      <c r="R814" s="202">
        <v>42</v>
      </c>
      <c r="S814" s="202" t="s">
        <v>19</v>
      </c>
      <c r="T814" s="202">
        <f>IF(R814&gt;0,IF(RIGHT(Ruimtestaat[[#This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814" s="202">
        <f>IF(T814&gt;0,VLOOKUP($J814,Ruimtegroepen[],3,FALSE)*VLOOKUP($L814,Vloersoorten[],3,FALSE)*VLOOKUP($S814,Frequenties[],3,FALSE)*VLOOKUP($A814,Locaties[],3,FALSE),0)</f>
        <v>0</v>
      </c>
      <c r="V814" s="202">
        <f>Ruimtestaat[[#This Row],[Uitvoeringen werkdagen]]*Ruimtestaat[[#This Row],[Oppervlak (netto)]]</f>
        <v>15594.6</v>
      </c>
      <c r="W814" s="242">
        <f>IF(U814&gt;0,Ruimtestaat[[#This Row],[Prest. (m2 /jaar) werkdagen]]/Ruimtestaat[[#This Row],[Norm (m2/uur) werkdagen]],0)</f>
        <v>0</v>
      </c>
      <c r="X814" s="243">
        <f>Ruimtestaat[[#This Row],[uren / jaar werkdagen]]*Tariefsopbouw!$D$38</f>
        <v>0</v>
      </c>
      <c r="Y814" s="33"/>
      <c r="Z814" s="33">
        <f>IF(Ruimtestaat[[#This Row],[Frequentie weekend]]&gt;0,VALUE(LEFT(Y814,1))*R814,0)</f>
        <v>0</v>
      </c>
      <c r="AA814" s="33">
        <f>IF($Z814&gt;0,VLOOKUP($J814,Ruimtegroepen[],3,FALSE)*VLOOKUP($L814,Vloersoorten[],3,FALSE)*VLOOKUP($Y814,Frequenties[],3,FALSE)*VLOOKUP(#REF!,Locaties[],3,FALSE),0)</f>
        <v>0</v>
      </c>
      <c r="AB814" s="33"/>
      <c r="AC814" s="33"/>
      <c r="AD814" s="33">
        <f>Ruimtestaat[[#This Row],[uren / jaar weekend]]*Tariefsopbouw!$D$40</f>
        <v>0</v>
      </c>
      <c r="AE814" s="86">
        <f>Ruimtestaat[[#This Row],[Prest. (m2 /jaar) weekend]]+Ruimtestaat[[#This Row],[Prest. (m2 /jaar) werkdagen]]</f>
        <v>15594.6</v>
      </c>
      <c r="AF814" s="86">
        <f>Ruimtestaat[[#This Row],[uren / jaar weekend]]+Ruimtestaat[[#This Row],[uren / jaar werkdagen]]</f>
        <v>0</v>
      </c>
      <c r="AG814" s="87">
        <f>Ruimtestaat[[#This Row],[kosten / jaar weekend]]+Ruimtestaat[[#This Row],[kosten / jaar werkdagen]]</f>
        <v>0</v>
      </c>
    </row>
    <row r="815" spans="1:33" ht="15" customHeight="1">
      <c r="A815" s="187">
        <v>6</v>
      </c>
      <c r="B815" s="21" t="str">
        <f>VLOOKUP(Ruimtestaat[[#This Row],[Code]],Locaties[#All],2,FALSE)</f>
        <v>De Thij</v>
      </c>
      <c r="C815" s="247" t="str">
        <f>VLOOKUP(Ruimtestaat[[#This Row],[Code]],Locaties[#All],4,FALSE)</f>
        <v>Thijlaan 30</v>
      </c>
      <c r="D815" s="247" t="str">
        <f>VLOOKUP(Ruimtestaat[[#This Row],[Code]],Locaties[#All],5,FALSE)</f>
        <v>7576 ZB</v>
      </c>
      <c r="E815" s="187" t="str">
        <f>VLOOKUP(Ruimtestaat[[#This Row],[Code]],Locaties[#All],6,FALSE)</f>
        <v>Oldenzaal</v>
      </c>
      <c r="F815" s="248"/>
      <c r="G815" s="246">
        <v>1</v>
      </c>
      <c r="H815" s="246" t="s">
        <v>854</v>
      </c>
      <c r="I815" s="248" t="s">
        <v>855</v>
      </c>
      <c r="J815" s="187">
        <v>14</v>
      </c>
      <c r="K815" s="187" t="str">
        <f>VLOOKUP(Ruimtestaat[[#This Row],[Ruimte code]],Ruimtegroepen[#All],2,FALSE)</f>
        <v>Praktijklokalen/kabinet</v>
      </c>
      <c r="L815" s="247" t="s">
        <v>677</v>
      </c>
      <c r="M815" s="246" t="s">
        <v>270</v>
      </c>
      <c r="N815" s="200">
        <v>27.16</v>
      </c>
      <c r="O815" s="200"/>
      <c r="P815" s="231" t="str">
        <f>VLOOKUP(Ruimtestaat[[#This Row],[Ruimte code]],Ruimtegroepen[#All],4,FALSE)</f>
        <v>L  (Lesruimte)</v>
      </c>
      <c r="Q815" s="201"/>
      <c r="R815" s="202">
        <v>42</v>
      </c>
      <c r="S815" s="202" t="s">
        <v>2</v>
      </c>
      <c r="T815" s="202">
        <f>IF(R815&gt;0,IF(RIGHT(Ruimtestaat[[#This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15" s="202">
        <f>IF(T815&gt;0,VLOOKUP($J815,Ruimtegroepen[],3,FALSE)*VLOOKUP($L815,Vloersoorten[],3,FALSE)*VLOOKUP($S815,Frequenties[],3,FALSE)*VLOOKUP($A815,Locaties[],3,FALSE),0)</f>
        <v>0</v>
      </c>
      <c r="V815" s="202">
        <f>Ruimtestaat[[#This Row],[Uitvoeringen werkdagen]]*Ruimtestaat[[#This Row],[Oppervlak (netto)]]</f>
        <v>5703.6</v>
      </c>
      <c r="W815" s="242">
        <f>IF(U815&gt;0,Ruimtestaat[[#This Row],[Prest. (m2 /jaar) werkdagen]]/Ruimtestaat[[#This Row],[Norm (m2/uur) werkdagen]],0)</f>
        <v>0</v>
      </c>
      <c r="X815" s="243">
        <f>Ruimtestaat[[#This Row],[uren / jaar werkdagen]]*Tariefsopbouw!$D$38</f>
        <v>0</v>
      </c>
      <c r="Y815" s="33"/>
      <c r="Z815" s="33">
        <f>IF(Ruimtestaat[[#This Row],[Frequentie weekend]]&gt;0,VALUE(LEFT(Y815,1))*R815,0)</f>
        <v>0</v>
      </c>
      <c r="AA815" s="33">
        <f>IF($Z815&gt;0,VLOOKUP($J815,Ruimtegroepen[],3,FALSE)*VLOOKUP($L815,Vloersoorten[],3,FALSE)*VLOOKUP($Y815,Frequenties[],3,FALSE)*VLOOKUP(#REF!,Locaties[],3,FALSE),0)</f>
        <v>0</v>
      </c>
      <c r="AB815" s="33"/>
      <c r="AC815" s="33"/>
      <c r="AD815" s="33">
        <f>Ruimtestaat[[#This Row],[uren / jaar weekend]]*Tariefsopbouw!$D$40</f>
        <v>0</v>
      </c>
      <c r="AE815" s="86">
        <f>Ruimtestaat[[#This Row],[Prest. (m2 /jaar) weekend]]+Ruimtestaat[[#This Row],[Prest. (m2 /jaar) werkdagen]]</f>
        <v>5703.6</v>
      </c>
      <c r="AF815" s="86">
        <f>Ruimtestaat[[#This Row],[uren / jaar weekend]]+Ruimtestaat[[#This Row],[uren / jaar werkdagen]]</f>
        <v>0</v>
      </c>
      <c r="AG815" s="87">
        <f>Ruimtestaat[[#This Row],[kosten / jaar weekend]]+Ruimtestaat[[#This Row],[kosten / jaar werkdagen]]</f>
        <v>0</v>
      </c>
    </row>
    <row r="816" spans="1:33" ht="15" customHeight="1">
      <c r="A816" s="187">
        <v>6</v>
      </c>
      <c r="B816" s="21" t="str">
        <f>VLOOKUP(Ruimtestaat[[#This Row],[Code]],Locaties[#All],2,FALSE)</f>
        <v>De Thij</v>
      </c>
      <c r="C816" s="247" t="str">
        <f>VLOOKUP(Ruimtestaat[[#This Row],[Code]],Locaties[#All],4,FALSE)</f>
        <v>Thijlaan 30</v>
      </c>
      <c r="D816" s="247" t="str">
        <f>VLOOKUP(Ruimtestaat[[#This Row],[Code]],Locaties[#All],5,FALSE)</f>
        <v>7576 ZB</v>
      </c>
      <c r="E816" s="187" t="str">
        <f>VLOOKUP(Ruimtestaat[[#This Row],[Code]],Locaties[#All],6,FALSE)</f>
        <v>Oldenzaal</v>
      </c>
      <c r="F816" s="248"/>
      <c r="G816" s="246">
        <v>1</v>
      </c>
      <c r="H816" s="246" t="s">
        <v>856</v>
      </c>
      <c r="I816" s="248" t="s">
        <v>616</v>
      </c>
      <c r="J816" s="187">
        <v>2</v>
      </c>
      <c r="K816" s="187" t="str">
        <f>VLOOKUP(Ruimtestaat[[#This Row],[Ruimte code]],Ruimtegroepen[#All],2,FALSE)</f>
        <v>Kantoren/kantoortuin</v>
      </c>
      <c r="L816" s="247" t="s">
        <v>677</v>
      </c>
      <c r="M816" s="246" t="s">
        <v>270</v>
      </c>
      <c r="N816" s="200">
        <v>11.89</v>
      </c>
      <c r="O816" s="200"/>
      <c r="P816" s="231" t="str">
        <f>VLOOKUP(Ruimtestaat[[#This Row],[Ruimte code]],Ruimtegroepen[#All],4,FALSE)</f>
        <v>B  (Bureauruimte)</v>
      </c>
      <c r="Q816" s="201"/>
      <c r="R816" s="202">
        <v>42</v>
      </c>
      <c r="S816" s="202" t="s">
        <v>15</v>
      </c>
      <c r="T816" s="202">
        <f>IF(R816&gt;0,IF(RIGHT(Ruimtestaat[[#This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816" s="202">
        <f>IF(T816&gt;0,VLOOKUP($J816,Ruimtegroepen[],3,FALSE)*VLOOKUP($L816,Vloersoorten[],3,FALSE)*VLOOKUP($S816,Frequenties[],3,FALSE)*VLOOKUP($A816,Locaties[],3,FALSE),0)</f>
        <v>0</v>
      </c>
      <c r="V816" s="202">
        <f>Ruimtestaat[[#This Row],[Uitvoeringen werkdagen]]*Ruimtestaat[[#This Row],[Oppervlak (netto)]]</f>
        <v>499.38</v>
      </c>
      <c r="W816" s="242">
        <f>IF(U816&gt;0,Ruimtestaat[[#This Row],[Prest. (m2 /jaar) werkdagen]]/Ruimtestaat[[#This Row],[Norm (m2/uur) werkdagen]],0)</f>
        <v>0</v>
      </c>
      <c r="X816" s="243">
        <f>Ruimtestaat[[#This Row],[uren / jaar werkdagen]]*Tariefsopbouw!$D$38</f>
        <v>0</v>
      </c>
      <c r="Y816" s="33"/>
      <c r="Z816" s="33">
        <f>IF(Ruimtestaat[[#This Row],[Frequentie weekend]]&gt;0,VALUE(LEFT(Y816,1))*R816,0)</f>
        <v>0</v>
      </c>
      <c r="AA816" s="33">
        <f>IF($Z816&gt;0,VLOOKUP($J816,Ruimtegroepen[],3,FALSE)*VLOOKUP($L816,Vloersoorten[],3,FALSE)*VLOOKUP($Y816,Frequenties[],3,FALSE)*VLOOKUP(#REF!,Locaties[],3,FALSE),0)</f>
        <v>0</v>
      </c>
      <c r="AB816" s="33"/>
      <c r="AC816" s="33"/>
      <c r="AD816" s="33">
        <f>Ruimtestaat[[#This Row],[uren / jaar weekend]]*Tariefsopbouw!$D$40</f>
        <v>0</v>
      </c>
      <c r="AE816" s="86">
        <f>Ruimtestaat[[#This Row],[Prest. (m2 /jaar) weekend]]+Ruimtestaat[[#This Row],[Prest. (m2 /jaar) werkdagen]]</f>
        <v>499.38</v>
      </c>
      <c r="AF816" s="86">
        <f>Ruimtestaat[[#This Row],[uren / jaar weekend]]+Ruimtestaat[[#This Row],[uren / jaar werkdagen]]</f>
        <v>0</v>
      </c>
      <c r="AG816" s="87">
        <f>Ruimtestaat[[#This Row],[kosten / jaar weekend]]+Ruimtestaat[[#This Row],[kosten / jaar werkdagen]]</f>
        <v>0</v>
      </c>
    </row>
    <row r="817" spans="1:33" ht="15" customHeight="1">
      <c r="A817" s="187">
        <v>6</v>
      </c>
      <c r="B817" s="21" t="str">
        <f>VLOOKUP(Ruimtestaat[[#This Row],[Code]],Locaties[#All],2,FALSE)</f>
        <v>De Thij</v>
      </c>
      <c r="C817" s="247" t="str">
        <f>VLOOKUP(Ruimtestaat[[#This Row],[Code]],Locaties[#All],4,FALSE)</f>
        <v>Thijlaan 30</v>
      </c>
      <c r="D817" s="247" t="str">
        <f>VLOOKUP(Ruimtestaat[[#This Row],[Code]],Locaties[#All],5,FALSE)</f>
        <v>7576 ZB</v>
      </c>
      <c r="E817" s="187" t="str">
        <f>VLOOKUP(Ruimtestaat[[#This Row],[Code]],Locaties[#All],6,FALSE)</f>
        <v>Oldenzaal</v>
      </c>
      <c r="F817" s="248"/>
      <c r="G817" s="246">
        <v>1</v>
      </c>
      <c r="H817" s="246" t="s">
        <v>857</v>
      </c>
      <c r="I817" s="248" t="s">
        <v>858</v>
      </c>
      <c r="J817" s="187">
        <v>20</v>
      </c>
      <c r="K817" s="187" t="str">
        <f>VLOOKUP(Ruimtestaat[[#This Row],[Ruimte code]],Ruimtegroepen[#All],2,FALSE)</f>
        <v>Niet in onderhoud</v>
      </c>
      <c r="L817" s="202" t="s">
        <v>108</v>
      </c>
      <c r="M817" s="246" t="s">
        <v>1206</v>
      </c>
      <c r="N817" s="200"/>
      <c r="O817" s="200"/>
      <c r="P817" s="231" t="str">
        <f>VLOOKUP(Ruimtestaat[[#This Row],[Ruimte code]],Ruimtegroepen[#All],4,FALSE)</f>
        <v>V  (Verkeersruimte)</v>
      </c>
      <c r="Q817" s="201"/>
      <c r="R817" s="202"/>
      <c r="S817" s="202"/>
      <c r="T817" s="202">
        <f>IF(R817&gt;0,IF(RIGHT(Ruimtestaat[[#This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817" s="202">
        <f>IF(T817&gt;0,VLOOKUP($J817,Ruimtegroepen[],3,FALSE)*VLOOKUP($L817,Vloersoorten[],3,FALSE)*VLOOKUP($S817,Frequenties[],3,FALSE)*VLOOKUP($A817,Locaties[],3,FALSE),0)</f>
        <v>0</v>
      </c>
      <c r="V817" s="202">
        <f>Ruimtestaat[[#This Row],[Uitvoeringen werkdagen]]*Ruimtestaat[[#This Row],[Oppervlak (netto)]]</f>
        <v>0</v>
      </c>
      <c r="W817" s="242">
        <f>IF(U817&gt;0,Ruimtestaat[[#This Row],[Prest. (m2 /jaar) werkdagen]]/Ruimtestaat[[#This Row],[Norm (m2/uur) werkdagen]],0)</f>
        <v>0</v>
      </c>
      <c r="X817" s="243">
        <f>Ruimtestaat[[#This Row],[uren / jaar werkdagen]]*Tariefsopbouw!$D$38</f>
        <v>0</v>
      </c>
      <c r="Y817" s="33"/>
      <c r="Z817" s="33">
        <f>IF(Ruimtestaat[[#This Row],[Frequentie weekend]]&gt;0,VALUE(LEFT(Y817,1))*R817,0)</f>
        <v>0</v>
      </c>
      <c r="AA817" s="33">
        <f>IF($Z817&gt;0,VLOOKUP($J817,Ruimtegroepen[],3,FALSE)*VLOOKUP($L817,Vloersoorten[],3,FALSE)*VLOOKUP($Y817,Frequenties[],3,FALSE)*VLOOKUP(#REF!,Locaties[],3,FALSE),0)</f>
        <v>0</v>
      </c>
      <c r="AB817" s="33"/>
      <c r="AC817" s="33"/>
      <c r="AD817" s="33">
        <f>Ruimtestaat[[#This Row],[uren / jaar weekend]]*Tariefsopbouw!$D$40</f>
        <v>0</v>
      </c>
      <c r="AE817" s="86">
        <f>Ruimtestaat[[#This Row],[Prest. (m2 /jaar) weekend]]+Ruimtestaat[[#This Row],[Prest. (m2 /jaar) werkdagen]]</f>
        <v>0</v>
      </c>
      <c r="AF817" s="86">
        <f>Ruimtestaat[[#This Row],[uren / jaar weekend]]+Ruimtestaat[[#This Row],[uren / jaar werkdagen]]</f>
        <v>0</v>
      </c>
      <c r="AG817" s="87">
        <f>Ruimtestaat[[#This Row],[kosten / jaar weekend]]+Ruimtestaat[[#This Row],[kosten / jaar werkdagen]]</f>
        <v>0</v>
      </c>
    </row>
    <row r="818" spans="1:33" ht="15" customHeight="1">
      <c r="A818" s="187">
        <v>6</v>
      </c>
      <c r="B818" s="21" t="str">
        <f>VLOOKUP(Ruimtestaat[[#This Row],[Code]],Locaties[#All],2,FALSE)</f>
        <v>De Thij</v>
      </c>
      <c r="C818" s="247" t="str">
        <f>VLOOKUP(Ruimtestaat[[#This Row],[Code]],Locaties[#All],4,FALSE)</f>
        <v>Thijlaan 30</v>
      </c>
      <c r="D818" s="247" t="str">
        <f>VLOOKUP(Ruimtestaat[[#This Row],[Code]],Locaties[#All],5,FALSE)</f>
        <v>7576 ZB</v>
      </c>
      <c r="E818" s="187" t="str">
        <f>VLOOKUP(Ruimtestaat[[#This Row],[Code]],Locaties[#All],6,FALSE)</f>
        <v>Oldenzaal</v>
      </c>
      <c r="F818" s="248"/>
      <c r="G818" s="246">
        <v>2</v>
      </c>
      <c r="H818" s="246" t="s">
        <v>859</v>
      </c>
      <c r="I818" s="248" t="s">
        <v>372</v>
      </c>
      <c r="J818" s="187">
        <v>6</v>
      </c>
      <c r="K818" s="187" t="str">
        <f>VLOOKUP(Ruimtestaat[[#This Row],[Ruimte code]],Ruimtegroepen[#All],2,FALSE)</f>
        <v>Gangen/hallen</v>
      </c>
      <c r="L818" s="247" t="s">
        <v>677</v>
      </c>
      <c r="M818" s="246" t="s">
        <v>270</v>
      </c>
      <c r="N818" s="200">
        <v>175</v>
      </c>
      <c r="O818" s="200"/>
      <c r="P818" s="231" t="str">
        <f>VLOOKUP(Ruimtestaat[[#This Row],[Ruimte code]],Ruimtegroepen[#All],4,FALSE)</f>
        <v>V  (Verkeersruimte)</v>
      </c>
      <c r="Q818" s="201"/>
      <c r="R818" s="202">
        <v>42</v>
      </c>
      <c r="S818" s="202" t="s">
        <v>2</v>
      </c>
      <c r="T818" s="202">
        <f>IF(R818&gt;0,IF(RIGHT(Ruimtestaat[[#This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18" s="202">
        <f>IF(T818&gt;0,VLOOKUP($J818,Ruimtegroepen[],3,FALSE)*VLOOKUP($L818,Vloersoorten[],3,FALSE)*VLOOKUP($S818,Frequenties[],3,FALSE)*VLOOKUP($A818,Locaties[],3,FALSE),0)</f>
        <v>0</v>
      </c>
      <c r="V818" s="202">
        <f>Ruimtestaat[[#This Row],[Uitvoeringen werkdagen]]*Ruimtestaat[[#This Row],[Oppervlak (netto)]]</f>
        <v>36750</v>
      </c>
      <c r="W818" s="242">
        <f>IF(U818&gt;0,Ruimtestaat[[#This Row],[Prest. (m2 /jaar) werkdagen]]/Ruimtestaat[[#This Row],[Norm (m2/uur) werkdagen]],0)</f>
        <v>0</v>
      </c>
      <c r="X818" s="243">
        <f>Ruimtestaat[[#This Row],[uren / jaar werkdagen]]*Tariefsopbouw!$D$38</f>
        <v>0</v>
      </c>
      <c r="Y818" s="33"/>
      <c r="Z818" s="33">
        <f>IF(Ruimtestaat[[#This Row],[Frequentie weekend]]&gt;0,VALUE(LEFT(Y818,1))*R818,0)</f>
        <v>0</v>
      </c>
      <c r="AA818" s="33">
        <f>IF($Z818&gt;0,VLOOKUP($J818,Ruimtegroepen[],3,FALSE)*VLOOKUP($L818,Vloersoorten[],3,FALSE)*VLOOKUP($Y818,Frequenties[],3,FALSE)*VLOOKUP(#REF!,Locaties[],3,FALSE),0)</f>
        <v>0</v>
      </c>
      <c r="AB818" s="33"/>
      <c r="AC818" s="33"/>
      <c r="AD818" s="33">
        <f>Ruimtestaat[[#This Row],[uren / jaar weekend]]*Tariefsopbouw!$D$40</f>
        <v>0</v>
      </c>
      <c r="AE818" s="86">
        <f>Ruimtestaat[[#This Row],[Prest. (m2 /jaar) weekend]]+Ruimtestaat[[#This Row],[Prest. (m2 /jaar) werkdagen]]</f>
        <v>36750</v>
      </c>
      <c r="AF818" s="86">
        <f>Ruimtestaat[[#This Row],[uren / jaar weekend]]+Ruimtestaat[[#This Row],[uren / jaar werkdagen]]</f>
        <v>0</v>
      </c>
      <c r="AG818" s="87">
        <f>Ruimtestaat[[#This Row],[kosten / jaar weekend]]+Ruimtestaat[[#This Row],[kosten / jaar werkdagen]]</f>
        <v>0</v>
      </c>
    </row>
    <row r="819" spans="1:33" ht="15" customHeight="1">
      <c r="A819" s="187">
        <v>6</v>
      </c>
      <c r="B819" s="21" t="str">
        <f>VLOOKUP(Ruimtestaat[[#This Row],[Code]],Locaties[#All],2,FALSE)</f>
        <v>De Thij</v>
      </c>
      <c r="C819" s="247" t="str">
        <f>VLOOKUP(Ruimtestaat[[#This Row],[Code]],Locaties[#All],4,FALSE)</f>
        <v>Thijlaan 30</v>
      </c>
      <c r="D819" s="247" t="str">
        <f>VLOOKUP(Ruimtestaat[[#This Row],[Code]],Locaties[#All],5,FALSE)</f>
        <v>7576 ZB</v>
      </c>
      <c r="E819" s="187" t="str">
        <f>VLOOKUP(Ruimtestaat[[#This Row],[Code]],Locaties[#All],6,FALSE)</f>
        <v>Oldenzaal</v>
      </c>
      <c r="F819" s="248"/>
      <c r="G819" s="246">
        <v>2</v>
      </c>
      <c r="H819" s="246" t="s">
        <v>860</v>
      </c>
      <c r="I819" s="248" t="s">
        <v>804</v>
      </c>
      <c r="J819" s="187">
        <v>16</v>
      </c>
      <c r="K819" s="187" t="str">
        <f>VLOOKUP(Ruimtestaat[[#This Row],[Ruimte code]],Ruimtegroepen[#All],2,FALSE)</f>
        <v>Leslokalen/computerlokaal</v>
      </c>
      <c r="L819" s="247" t="s">
        <v>677</v>
      </c>
      <c r="M819" s="246" t="s">
        <v>270</v>
      </c>
      <c r="N819" s="200">
        <v>65.040000000000006</v>
      </c>
      <c r="O819" s="200"/>
      <c r="P819" s="231" t="str">
        <f>VLOOKUP(Ruimtestaat[[#This Row],[Ruimte code]],Ruimtegroepen[#All],4,FALSE)</f>
        <v>L  (Lesruimte)</v>
      </c>
      <c r="Q819" s="201"/>
      <c r="R819" s="202">
        <v>42</v>
      </c>
      <c r="S819" s="202" t="s">
        <v>2</v>
      </c>
      <c r="T819" s="202">
        <f>IF(R819&gt;0,IF(RIGHT(Ruimtestaat[[#This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19" s="202">
        <f>IF(T819&gt;0,VLOOKUP($J819,Ruimtegroepen[],3,FALSE)*VLOOKUP($L819,Vloersoorten[],3,FALSE)*VLOOKUP($S819,Frequenties[],3,FALSE)*VLOOKUP($A819,Locaties[],3,FALSE),0)</f>
        <v>0</v>
      </c>
      <c r="V819" s="202">
        <f>Ruimtestaat[[#This Row],[Uitvoeringen werkdagen]]*Ruimtestaat[[#This Row],[Oppervlak (netto)]]</f>
        <v>13658.400000000001</v>
      </c>
      <c r="W819" s="242">
        <f>IF(U819&gt;0,Ruimtestaat[[#This Row],[Prest. (m2 /jaar) werkdagen]]/Ruimtestaat[[#This Row],[Norm (m2/uur) werkdagen]],0)</f>
        <v>0</v>
      </c>
      <c r="X819" s="243">
        <f>Ruimtestaat[[#This Row],[uren / jaar werkdagen]]*Tariefsopbouw!$D$38</f>
        <v>0</v>
      </c>
      <c r="Y819" s="33"/>
      <c r="Z819" s="33">
        <f>IF(Ruimtestaat[[#This Row],[Frequentie weekend]]&gt;0,VALUE(LEFT(Y819,1))*R819,0)</f>
        <v>0</v>
      </c>
      <c r="AA819" s="33">
        <f>IF($Z819&gt;0,VLOOKUP($J819,Ruimtegroepen[],3,FALSE)*VLOOKUP($L819,Vloersoorten[],3,FALSE)*VLOOKUP($Y819,Frequenties[],3,FALSE)*VLOOKUP(#REF!,Locaties[],3,FALSE),0)</f>
        <v>0</v>
      </c>
      <c r="AB819" s="33"/>
      <c r="AC819" s="33"/>
      <c r="AD819" s="33">
        <f>Ruimtestaat[[#This Row],[uren / jaar weekend]]*Tariefsopbouw!$D$40</f>
        <v>0</v>
      </c>
      <c r="AE819" s="86">
        <f>Ruimtestaat[[#This Row],[Prest. (m2 /jaar) weekend]]+Ruimtestaat[[#This Row],[Prest. (m2 /jaar) werkdagen]]</f>
        <v>13658.400000000001</v>
      </c>
      <c r="AF819" s="86">
        <f>Ruimtestaat[[#This Row],[uren / jaar weekend]]+Ruimtestaat[[#This Row],[uren / jaar werkdagen]]</f>
        <v>0</v>
      </c>
      <c r="AG819" s="87">
        <f>Ruimtestaat[[#This Row],[kosten / jaar weekend]]+Ruimtestaat[[#This Row],[kosten / jaar werkdagen]]</f>
        <v>0</v>
      </c>
    </row>
    <row r="820" spans="1:33" ht="15" customHeight="1">
      <c r="A820" s="187">
        <v>6</v>
      </c>
      <c r="B820" s="21" t="str">
        <f>VLOOKUP(Ruimtestaat[[#This Row],[Code]],Locaties[#All],2,FALSE)</f>
        <v>De Thij</v>
      </c>
      <c r="C820" s="247" t="str">
        <f>VLOOKUP(Ruimtestaat[[#This Row],[Code]],Locaties[#All],4,FALSE)</f>
        <v>Thijlaan 30</v>
      </c>
      <c r="D820" s="247" t="str">
        <f>VLOOKUP(Ruimtestaat[[#This Row],[Code]],Locaties[#All],5,FALSE)</f>
        <v>7576 ZB</v>
      </c>
      <c r="E820" s="187" t="str">
        <f>VLOOKUP(Ruimtestaat[[#This Row],[Code]],Locaties[#All],6,FALSE)</f>
        <v>Oldenzaal</v>
      </c>
      <c r="F820" s="248"/>
      <c r="G820" s="246">
        <v>2</v>
      </c>
      <c r="H820" s="246" t="s">
        <v>861</v>
      </c>
      <c r="I820" s="248" t="s">
        <v>804</v>
      </c>
      <c r="J820" s="187">
        <v>16</v>
      </c>
      <c r="K820" s="187" t="str">
        <f>VLOOKUP(Ruimtestaat[[#This Row],[Ruimte code]],Ruimtegroepen[#All],2,FALSE)</f>
        <v>Leslokalen/computerlokaal</v>
      </c>
      <c r="L820" s="247" t="s">
        <v>677</v>
      </c>
      <c r="M820" s="246" t="s">
        <v>270</v>
      </c>
      <c r="N820" s="200">
        <v>116.81</v>
      </c>
      <c r="O820" s="200"/>
      <c r="P820" s="231" t="str">
        <f>VLOOKUP(Ruimtestaat[[#This Row],[Ruimte code]],Ruimtegroepen[#All],4,FALSE)</f>
        <v>L  (Lesruimte)</v>
      </c>
      <c r="Q820" s="201"/>
      <c r="R820" s="202">
        <v>42</v>
      </c>
      <c r="S820" s="202" t="s">
        <v>2</v>
      </c>
      <c r="T820" s="202">
        <f>IF(R820&gt;0,IF(RIGHT(Ruimtestaat[[#This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20" s="202">
        <f>IF(T820&gt;0,VLOOKUP($J820,Ruimtegroepen[],3,FALSE)*VLOOKUP($L820,Vloersoorten[],3,FALSE)*VLOOKUP($S820,Frequenties[],3,FALSE)*VLOOKUP($A820,Locaties[],3,FALSE),0)</f>
        <v>0</v>
      </c>
      <c r="V820" s="202">
        <f>Ruimtestaat[[#This Row],[Uitvoeringen werkdagen]]*Ruimtestaat[[#This Row],[Oppervlak (netto)]]</f>
        <v>24530.100000000002</v>
      </c>
      <c r="W820" s="242">
        <f>IF(U820&gt;0,Ruimtestaat[[#This Row],[Prest. (m2 /jaar) werkdagen]]/Ruimtestaat[[#This Row],[Norm (m2/uur) werkdagen]],0)</f>
        <v>0</v>
      </c>
      <c r="X820" s="243">
        <f>Ruimtestaat[[#This Row],[uren / jaar werkdagen]]*Tariefsopbouw!$D$38</f>
        <v>0</v>
      </c>
      <c r="Y820" s="33"/>
      <c r="Z820" s="33">
        <f>IF(Ruimtestaat[[#This Row],[Frequentie weekend]]&gt;0,VALUE(LEFT(Y820,1))*R820,0)</f>
        <v>0</v>
      </c>
      <c r="AA820" s="33">
        <f>IF($Z820&gt;0,VLOOKUP($J820,Ruimtegroepen[],3,FALSE)*VLOOKUP($L820,Vloersoorten[],3,FALSE)*VLOOKUP($Y820,Frequenties[],3,FALSE)*VLOOKUP(#REF!,Locaties[],3,FALSE),0)</f>
        <v>0</v>
      </c>
      <c r="AB820" s="33"/>
      <c r="AC820" s="33"/>
      <c r="AD820" s="33">
        <f>Ruimtestaat[[#This Row],[uren / jaar weekend]]*Tariefsopbouw!$D$40</f>
        <v>0</v>
      </c>
      <c r="AE820" s="86">
        <f>Ruimtestaat[[#This Row],[Prest. (m2 /jaar) weekend]]+Ruimtestaat[[#This Row],[Prest. (m2 /jaar) werkdagen]]</f>
        <v>24530.100000000002</v>
      </c>
      <c r="AF820" s="86">
        <f>Ruimtestaat[[#This Row],[uren / jaar weekend]]+Ruimtestaat[[#This Row],[uren / jaar werkdagen]]</f>
        <v>0</v>
      </c>
      <c r="AG820" s="87">
        <f>Ruimtestaat[[#This Row],[kosten / jaar weekend]]+Ruimtestaat[[#This Row],[kosten / jaar werkdagen]]</f>
        <v>0</v>
      </c>
    </row>
    <row r="821" spans="1:33" ht="15" customHeight="1">
      <c r="A821" s="187">
        <v>6</v>
      </c>
      <c r="B821" s="21" t="str">
        <f>VLOOKUP(Ruimtestaat[[#This Row],[Code]],Locaties[#All],2,FALSE)</f>
        <v>De Thij</v>
      </c>
      <c r="C821" s="247" t="str">
        <f>VLOOKUP(Ruimtestaat[[#This Row],[Code]],Locaties[#All],4,FALSE)</f>
        <v>Thijlaan 30</v>
      </c>
      <c r="D821" s="247" t="str">
        <f>VLOOKUP(Ruimtestaat[[#This Row],[Code]],Locaties[#All],5,FALSE)</f>
        <v>7576 ZB</v>
      </c>
      <c r="E821" s="187" t="str">
        <f>VLOOKUP(Ruimtestaat[[#This Row],[Code]],Locaties[#All],6,FALSE)</f>
        <v>Oldenzaal</v>
      </c>
      <c r="F821" s="248"/>
      <c r="G821" s="246">
        <v>2</v>
      </c>
      <c r="H821" s="246" t="s">
        <v>862</v>
      </c>
      <c r="I821" s="248" t="s">
        <v>804</v>
      </c>
      <c r="J821" s="187">
        <v>16</v>
      </c>
      <c r="K821" s="187" t="str">
        <f>VLOOKUP(Ruimtestaat[[#This Row],[Ruimte code]],Ruimtegroepen[#All],2,FALSE)</f>
        <v>Leslokalen/computerlokaal</v>
      </c>
      <c r="L821" s="247" t="s">
        <v>677</v>
      </c>
      <c r="M821" s="246" t="s">
        <v>270</v>
      </c>
      <c r="N821" s="200">
        <v>166.07</v>
      </c>
      <c r="O821" s="200"/>
      <c r="P821" s="231" t="str">
        <f>VLOOKUP(Ruimtestaat[[#This Row],[Ruimte code]],Ruimtegroepen[#All],4,FALSE)</f>
        <v>L  (Lesruimte)</v>
      </c>
      <c r="Q821" s="201"/>
      <c r="R821" s="202">
        <v>42</v>
      </c>
      <c r="S821" s="202" t="s">
        <v>2</v>
      </c>
      <c r="T821" s="202">
        <f>IF(R821&gt;0,IF(RIGHT(Ruimtestaat[[#This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21" s="202">
        <f>IF(T821&gt;0,VLOOKUP($J821,Ruimtegroepen[],3,FALSE)*VLOOKUP($L821,Vloersoorten[],3,FALSE)*VLOOKUP($S821,Frequenties[],3,FALSE)*VLOOKUP($A821,Locaties[],3,FALSE),0)</f>
        <v>0</v>
      </c>
      <c r="V821" s="202">
        <f>Ruimtestaat[[#This Row],[Uitvoeringen werkdagen]]*Ruimtestaat[[#This Row],[Oppervlak (netto)]]</f>
        <v>34874.699999999997</v>
      </c>
      <c r="W821" s="242">
        <f>IF(U821&gt;0,Ruimtestaat[[#This Row],[Prest. (m2 /jaar) werkdagen]]/Ruimtestaat[[#This Row],[Norm (m2/uur) werkdagen]],0)</f>
        <v>0</v>
      </c>
      <c r="X821" s="243">
        <f>Ruimtestaat[[#This Row],[uren / jaar werkdagen]]*Tariefsopbouw!$D$38</f>
        <v>0</v>
      </c>
      <c r="Y821" s="33"/>
      <c r="Z821" s="33">
        <f>IF(Ruimtestaat[[#This Row],[Frequentie weekend]]&gt;0,VALUE(LEFT(Y821,1))*R821,0)</f>
        <v>0</v>
      </c>
      <c r="AA821" s="33">
        <f>IF($Z821&gt;0,VLOOKUP($J821,Ruimtegroepen[],3,FALSE)*VLOOKUP($L821,Vloersoorten[],3,FALSE)*VLOOKUP($Y821,Frequenties[],3,FALSE)*VLOOKUP(#REF!,Locaties[],3,FALSE),0)</f>
        <v>0</v>
      </c>
      <c r="AB821" s="33"/>
      <c r="AC821" s="33"/>
      <c r="AD821" s="33">
        <f>Ruimtestaat[[#This Row],[uren / jaar weekend]]*Tariefsopbouw!$D$40</f>
        <v>0</v>
      </c>
      <c r="AE821" s="86">
        <f>Ruimtestaat[[#This Row],[Prest. (m2 /jaar) weekend]]+Ruimtestaat[[#This Row],[Prest. (m2 /jaar) werkdagen]]</f>
        <v>34874.699999999997</v>
      </c>
      <c r="AF821" s="86">
        <f>Ruimtestaat[[#This Row],[uren / jaar weekend]]+Ruimtestaat[[#This Row],[uren / jaar werkdagen]]</f>
        <v>0</v>
      </c>
      <c r="AG821" s="87">
        <f>Ruimtestaat[[#This Row],[kosten / jaar weekend]]+Ruimtestaat[[#This Row],[kosten / jaar werkdagen]]</f>
        <v>0</v>
      </c>
    </row>
    <row r="822" spans="1:33" ht="15" customHeight="1">
      <c r="A822" s="187">
        <v>6</v>
      </c>
      <c r="B822" s="21" t="str">
        <f>VLOOKUP(Ruimtestaat[[#This Row],[Code]],Locaties[#All],2,FALSE)</f>
        <v>De Thij</v>
      </c>
      <c r="C822" s="247" t="str">
        <f>VLOOKUP(Ruimtestaat[[#This Row],[Code]],Locaties[#All],4,FALSE)</f>
        <v>Thijlaan 30</v>
      </c>
      <c r="D822" s="247" t="str">
        <f>VLOOKUP(Ruimtestaat[[#This Row],[Code]],Locaties[#All],5,FALSE)</f>
        <v>7576 ZB</v>
      </c>
      <c r="E822" s="187" t="str">
        <f>VLOOKUP(Ruimtestaat[[#This Row],[Code]],Locaties[#All],6,FALSE)</f>
        <v>Oldenzaal</v>
      </c>
      <c r="F822" s="248"/>
      <c r="G822" s="246">
        <v>2</v>
      </c>
      <c r="H822" s="246" t="s">
        <v>863</v>
      </c>
      <c r="I822" s="248" t="s">
        <v>864</v>
      </c>
      <c r="J822" s="187">
        <v>16</v>
      </c>
      <c r="K822" s="187" t="str">
        <f>VLOOKUP(Ruimtestaat[[#This Row],[Ruimte code]],Ruimtegroepen[#All],2,FALSE)</f>
        <v>Leslokalen/computerlokaal</v>
      </c>
      <c r="L822" s="247" t="s">
        <v>677</v>
      </c>
      <c r="M822" s="246" t="s">
        <v>270</v>
      </c>
      <c r="N822" s="200">
        <v>55.5</v>
      </c>
      <c r="O822" s="200"/>
      <c r="P822" s="231" t="str">
        <f>VLOOKUP(Ruimtestaat[[#This Row],[Ruimte code]],Ruimtegroepen[#All],4,FALSE)</f>
        <v>L  (Lesruimte)</v>
      </c>
      <c r="Q822" s="201"/>
      <c r="R822" s="202">
        <v>42</v>
      </c>
      <c r="S822" s="202" t="s">
        <v>2</v>
      </c>
      <c r="T822" s="202">
        <f>IF(R822&gt;0,IF(RIGHT(Ruimtestaat[[#This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22" s="202">
        <f>IF(T822&gt;0,VLOOKUP($J822,Ruimtegroepen[],3,FALSE)*VLOOKUP($L822,Vloersoorten[],3,FALSE)*VLOOKUP($S822,Frequenties[],3,FALSE)*VLOOKUP($A822,Locaties[],3,FALSE),0)</f>
        <v>0</v>
      </c>
      <c r="V822" s="202">
        <f>Ruimtestaat[[#This Row],[Uitvoeringen werkdagen]]*Ruimtestaat[[#This Row],[Oppervlak (netto)]]</f>
        <v>11655</v>
      </c>
      <c r="W822" s="242">
        <f>IF(U822&gt;0,Ruimtestaat[[#This Row],[Prest. (m2 /jaar) werkdagen]]/Ruimtestaat[[#This Row],[Norm (m2/uur) werkdagen]],0)</f>
        <v>0</v>
      </c>
      <c r="X822" s="243">
        <f>Ruimtestaat[[#This Row],[uren / jaar werkdagen]]*Tariefsopbouw!$D$38</f>
        <v>0</v>
      </c>
      <c r="Y822" s="33"/>
      <c r="Z822" s="33">
        <f>IF(Ruimtestaat[[#This Row],[Frequentie weekend]]&gt;0,VALUE(LEFT(Y822,1))*R822,0)</f>
        <v>0</v>
      </c>
      <c r="AA822" s="33">
        <f>IF($Z822&gt;0,VLOOKUP($J822,Ruimtegroepen[],3,FALSE)*VLOOKUP($L822,Vloersoorten[],3,FALSE)*VLOOKUP($Y822,Frequenties[],3,FALSE)*VLOOKUP(#REF!,Locaties[],3,FALSE),0)</f>
        <v>0</v>
      </c>
      <c r="AB822" s="33"/>
      <c r="AC822" s="33"/>
      <c r="AD822" s="33">
        <f>Ruimtestaat[[#This Row],[uren / jaar weekend]]*Tariefsopbouw!$D$40</f>
        <v>0</v>
      </c>
      <c r="AE822" s="86">
        <f>Ruimtestaat[[#This Row],[Prest. (m2 /jaar) weekend]]+Ruimtestaat[[#This Row],[Prest. (m2 /jaar) werkdagen]]</f>
        <v>11655</v>
      </c>
      <c r="AF822" s="86">
        <f>Ruimtestaat[[#This Row],[uren / jaar weekend]]+Ruimtestaat[[#This Row],[uren / jaar werkdagen]]</f>
        <v>0</v>
      </c>
      <c r="AG822" s="87">
        <f>Ruimtestaat[[#This Row],[kosten / jaar weekend]]+Ruimtestaat[[#This Row],[kosten / jaar werkdagen]]</f>
        <v>0</v>
      </c>
    </row>
    <row r="823" spans="1:33" ht="15" customHeight="1">
      <c r="A823" s="187">
        <v>6</v>
      </c>
      <c r="B823" s="21" t="str">
        <f>VLOOKUP(Ruimtestaat[[#This Row],[Code]],Locaties[#All],2,FALSE)</f>
        <v>De Thij</v>
      </c>
      <c r="C823" s="247" t="str">
        <f>VLOOKUP(Ruimtestaat[[#This Row],[Code]],Locaties[#All],4,FALSE)</f>
        <v>Thijlaan 30</v>
      </c>
      <c r="D823" s="247" t="str">
        <f>VLOOKUP(Ruimtestaat[[#This Row],[Code]],Locaties[#All],5,FALSE)</f>
        <v>7576 ZB</v>
      </c>
      <c r="E823" s="187" t="str">
        <f>VLOOKUP(Ruimtestaat[[#This Row],[Code]],Locaties[#All],6,FALSE)</f>
        <v>Oldenzaal</v>
      </c>
      <c r="F823" s="248"/>
      <c r="G823" s="246">
        <v>2</v>
      </c>
      <c r="H823" s="246" t="s">
        <v>865</v>
      </c>
      <c r="I823" s="248" t="s">
        <v>804</v>
      </c>
      <c r="J823" s="247">
        <v>16</v>
      </c>
      <c r="K823" s="247" t="str">
        <f>VLOOKUP(Ruimtestaat[[#This Row],[Ruimte code]],Ruimtegroepen[#All],2,FALSE)</f>
        <v>Leslokalen/computerlokaal</v>
      </c>
      <c r="L823" s="247" t="s">
        <v>677</v>
      </c>
      <c r="M823" s="246" t="s">
        <v>270</v>
      </c>
      <c r="N823" s="200">
        <v>214.5</v>
      </c>
      <c r="O823" s="200"/>
      <c r="P823" s="231" t="str">
        <f>VLOOKUP(Ruimtestaat[[#This Row],[Ruimte code]],Ruimtegroepen[#All],4,FALSE)</f>
        <v>L  (Lesruimte)</v>
      </c>
      <c r="Q823" s="201"/>
      <c r="R823" s="202">
        <v>42</v>
      </c>
      <c r="S823" s="202" t="s">
        <v>2</v>
      </c>
      <c r="T823" s="202">
        <f>IF(R823&gt;0,IF(RIGHT(Ruimtestaat[[#This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23" s="202">
        <f>IF(T823&gt;0,VLOOKUP($J823,Ruimtegroepen[],3,FALSE)*VLOOKUP($L823,Vloersoorten[],3,FALSE)*VLOOKUP($S823,Frequenties[],3,FALSE)*VLOOKUP($A823,Locaties[],3,FALSE),0)</f>
        <v>0</v>
      </c>
      <c r="V823" s="202">
        <f>Ruimtestaat[[#This Row],[Uitvoeringen werkdagen]]*Ruimtestaat[[#This Row],[Oppervlak (netto)]]</f>
        <v>45045</v>
      </c>
      <c r="W823" s="242">
        <f>IF(U823&gt;0,Ruimtestaat[[#This Row],[Prest. (m2 /jaar) werkdagen]]/Ruimtestaat[[#This Row],[Norm (m2/uur) werkdagen]],0)</f>
        <v>0</v>
      </c>
      <c r="X823" s="243">
        <f>Ruimtestaat[[#This Row],[uren / jaar werkdagen]]*Tariefsopbouw!$D$38</f>
        <v>0</v>
      </c>
      <c r="Y823" s="33"/>
      <c r="Z823" s="33">
        <f>IF(Ruimtestaat[[#This Row],[Frequentie weekend]]&gt;0,VALUE(LEFT(Y823,1))*R823,0)</f>
        <v>0</v>
      </c>
      <c r="AA823" s="33">
        <f>IF($Z823&gt;0,VLOOKUP($J823,Ruimtegroepen[],3,FALSE)*VLOOKUP($L823,Vloersoorten[],3,FALSE)*VLOOKUP($Y823,Frequenties[],3,FALSE)*VLOOKUP(#REF!,Locaties[],3,FALSE),0)</f>
        <v>0</v>
      </c>
      <c r="AB823" s="33"/>
      <c r="AC823" s="33"/>
      <c r="AD823" s="33">
        <f>Ruimtestaat[[#This Row],[uren / jaar weekend]]*Tariefsopbouw!$D$40</f>
        <v>0</v>
      </c>
      <c r="AE823" s="86">
        <f>Ruimtestaat[[#This Row],[Prest. (m2 /jaar) weekend]]+Ruimtestaat[[#This Row],[Prest. (m2 /jaar) werkdagen]]</f>
        <v>45045</v>
      </c>
      <c r="AF823" s="86">
        <f>Ruimtestaat[[#This Row],[uren / jaar weekend]]+Ruimtestaat[[#This Row],[uren / jaar werkdagen]]</f>
        <v>0</v>
      </c>
      <c r="AG823" s="87">
        <f>Ruimtestaat[[#This Row],[kosten / jaar weekend]]+Ruimtestaat[[#This Row],[kosten / jaar werkdagen]]</f>
        <v>0</v>
      </c>
    </row>
    <row r="824" spans="1:33" ht="15" customHeight="1">
      <c r="A824" s="187">
        <v>6</v>
      </c>
      <c r="B824" s="21" t="str">
        <f>VLOOKUP(Ruimtestaat[[#This Row],[Code]],Locaties[#All],2,FALSE)</f>
        <v>De Thij</v>
      </c>
      <c r="C824" s="247" t="str">
        <f>VLOOKUP(Ruimtestaat[[#This Row],[Code]],Locaties[#All],4,FALSE)</f>
        <v>Thijlaan 30</v>
      </c>
      <c r="D824" s="247" t="str">
        <f>VLOOKUP(Ruimtestaat[[#This Row],[Code]],Locaties[#All],5,FALSE)</f>
        <v>7576 ZB</v>
      </c>
      <c r="E824" s="187" t="str">
        <f>VLOOKUP(Ruimtestaat[[#This Row],[Code]],Locaties[#All],6,FALSE)</f>
        <v>Oldenzaal</v>
      </c>
      <c r="F824" s="248"/>
      <c r="G824" s="246">
        <v>2</v>
      </c>
      <c r="H824" s="246" t="s">
        <v>866</v>
      </c>
      <c r="I824" s="248" t="s">
        <v>804</v>
      </c>
      <c r="J824" s="187">
        <v>16</v>
      </c>
      <c r="K824" s="187" t="str">
        <f>VLOOKUP(Ruimtestaat[[#This Row],[Ruimte code]],Ruimtegroepen[#All],2,FALSE)</f>
        <v>Leslokalen/computerlokaal</v>
      </c>
      <c r="L824" s="247" t="s">
        <v>677</v>
      </c>
      <c r="M824" s="246" t="s">
        <v>270</v>
      </c>
      <c r="N824" s="200">
        <v>55.5</v>
      </c>
      <c r="O824" s="200"/>
      <c r="P824" s="231" t="str">
        <f>VLOOKUP(Ruimtestaat[[#This Row],[Ruimte code]],Ruimtegroepen[#All],4,FALSE)</f>
        <v>L  (Lesruimte)</v>
      </c>
      <c r="Q824" s="201"/>
      <c r="R824" s="202">
        <v>42</v>
      </c>
      <c r="S824" s="202" t="s">
        <v>2</v>
      </c>
      <c r="T824" s="202">
        <f>IF(R824&gt;0,IF(RIGHT(Ruimtestaat[[#This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24" s="202">
        <f>IF(T824&gt;0,VLOOKUP($J824,Ruimtegroepen[],3,FALSE)*VLOOKUP($L824,Vloersoorten[],3,FALSE)*VLOOKUP($S824,Frequenties[],3,FALSE)*VLOOKUP($A824,Locaties[],3,FALSE),0)</f>
        <v>0</v>
      </c>
      <c r="V824" s="202">
        <f>Ruimtestaat[[#This Row],[Uitvoeringen werkdagen]]*Ruimtestaat[[#This Row],[Oppervlak (netto)]]</f>
        <v>11655</v>
      </c>
      <c r="W824" s="242">
        <f>IF(U824&gt;0,Ruimtestaat[[#This Row],[Prest. (m2 /jaar) werkdagen]]/Ruimtestaat[[#This Row],[Norm (m2/uur) werkdagen]],0)</f>
        <v>0</v>
      </c>
      <c r="X824" s="243">
        <f>Ruimtestaat[[#This Row],[uren / jaar werkdagen]]*Tariefsopbouw!$D$38</f>
        <v>0</v>
      </c>
      <c r="Y824" s="33"/>
      <c r="Z824" s="33">
        <f>IF(Ruimtestaat[[#This Row],[Frequentie weekend]]&gt;0,VALUE(LEFT(Y824,1))*R824,0)</f>
        <v>0</v>
      </c>
      <c r="AA824" s="33">
        <f>IF($Z824&gt;0,VLOOKUP($J824,Ruimtegroepen[],3,FALSE)*VLOOKUP($L824,Vloersoorten[],3,FALSE)*VLOOKUP($Y824,Frequenties[],3,FALSE)*VLOOKUP(#REF!,Locaties[],3,FALSE),0)</f>
        <v>0</v>
      </c>
      <c r="AB824" s="33"/>
      <c r="AC824" s="33"/>
      <c r="AD824" s="33">
        <f>Ruimtestaat[[#This Row],[uren / jaar weekend]]*Tariefsopbouw!$D$40</f>
        <v>0</v>
      </c>
      <c r="AE824" s="86">
        <f>Ruimtestaat[[#This Row],[Prest. (m2 /jaar) weekend]]+Ruimtestaat[[#This Row],[Prest. (m2 /jaar) werkdagen]]</f>
        <v>11655</v>
      </c>
      <c r="AF824" s="86">
        <f>Ruimtestaat[[#This Row],[uren / jaar weekend]]+Ruimtestaat[[#This Row],[uren / jaar werkdagen]]</f>
        <v>0</v>
      </c>
      <c r="AG824" s="87">
        <f>Ruimtestaat[[#This Row],[kosten / jaar weekend]]+Ruimtestaat[[#This Row],[kosten / jaar werkdagen]]</f>
        <v>0</v>
      </c>
    </row>
    <row r="825" spans="1:33" ht="15" customHeight="1">
      <c r="A825" s="187">
        <v>6</v>
      </c>
      <c r="B825" s="21" t="str">
        <f>VLOOKUP(Ruimtestaat[[#This Row],[Code]],Locaties[#All],2,FALSE)</f>
        <v>De Thij</v>
      </c>
      <c r="C825" s="247" t="str">
        <f>VLOOKUP(Ruimtestaat[[#This Row],[Code]],Locaties[#All],4,FALSE)</f>
        <v>Thijlaan 30</v>
      </c>
      <c r="D825" s="247" t="str">
        <f>VLOOKUP(Ruimtestaat[[#This Row],[Code]],Locaties[#All],5,FALSE)</f>
        <v>7576 ZB</v>
      </c>
      <c r="E825" s="187" t="str">
        <f>VLOOKUP(Ruimtestaat[[#This Row],[Code]],Locaties[#All],6,FALSE)</f>
        <v>Oldenzaal</v>
      </c>
      <c r="F825" s="248"/>
      <c r="G825" s="246">
        <v>2</v>
      </c>
      <c r="H825" s="246" t="s">
        <v>867</v>
      </c>
      <c r="I825" s="248" t="s">
        <v>864</v>
      </c>
      <c r="J825" s="187">
        <v>16</v>
      </c>
      <c r="K825" s="187" t="str">
        <f>VLOOKUP(Ruimtestaat[[#This Row],[Ruimte code]],Ruimtegroepen[#All],2,FALSE)</f>
        <v>Leslokalen/computerlokaal</v>
      </c>
      <c r="L825" s="247" t="s">
        <v>677</v>
      </c>
      <c r="M825" s="246" t="s">
        <v>270</v>
      </c>
      <c r="N825" s="200">
        <v>65.44</v>
      </c>
      <c r="O825" s="200"/>
      <c r="P825" s="231" t="str">
        <f>VLOOKUP(Ruimtestaat[[#This Row],[Ruimte code]],Ruimtegroepen[#All],4,FALSE)</f>
        <v>L  (Lesruimte)</v>
      </c>
      <c r="Q825" s="201"/>
      <c r="R825" s="202">
        <v>42</v>
      </c>
      <c r="S825" s="202" t="s">
        <v>2</v>
      </c>
      <c r="T825" s="202">
        <f>IF(R825&gt;0,IF(RIGHT(Ruimtestaat[[#This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25" s="202">
        <f>IF(T825&gt;0,VLOOKUP($J825,Ruimtegroepen[],3,FALSE)*VLOOKUP($L825,Vloersoorten[],3,FALSE)*VLOOKUP($S825,Frequenties[],3,FALSE)*VLOOKUP($A825,Locaties[],3,FALSE),0)</f>
        <v>0</v>
      </c>
      <c r="V825" s="202">
        <f>Ruimtestaat[[#This Row],[Uitvoeringen werkdagen]]*Ruimtestaat[[#This Row],[Oppervlak (netto)]]</f>
        <v>13742.4</v>
      </c>
      <c r="W825" s="242">
        <f>IF(U825&gt;0,Ruimtestaat[[#This Row],[Prest. (m2 /jaar) werkdagen]]/Ruimtestaat[[#This Row],[Norm (m2/uur) werkdagen]],0)</f>
        <v>0</v>
      </c>
      <c r="X825" s="243">
        <f>Ruimtestaat[[#This Row],[uren / jaar werkdagen]]*Tariefsopbouw!$D$38</f>
        <v>0</v>
      </c>
      <c r="Y825" s="33"/>
      <c r="Z825" s="33">
        <f>IF(Ruimtestaat[[#This Row],[Frequentie weekend]]&gt;0,VALUE(LEFT(Y825,1))*R825,0)</f>
        <v>0</v>
      </c>
      <c r="AA825" s="33">
        <f>IF($Z825&gt;0,VLOOKUP($J825,Ruimtegroepen[],3,FALSE)*VLOOKUP($L825,Vloersoorten[],3,FALSE)*VLOOKUP($Y825,Frequenties[],3,FALSE)*VLOOKUP(#REF!,Locaties[],3,FALSE),0)</f>
        <v>0</v>
      </c>
      <c r="AB825" s="33"/>
      <c r="AC825" s="33"/>
      <c r="AD825" s="33">
        <f>Ruimtestaat[[#This Row],[uren / jaar weekend]]*Tariefsopbouw!$D$40</f>
        <v>0</v>
      </c>
      <c r="AE825" s="86">
        <f>Ruimtestaat[[#This Row],[Prest. (m2 /jaar) weekend]]+Ruimtestaat[[#This Row],[Prest. (m2 /jaar) werkdagen]]</f>
        <v>13742.4</v>
      </c>
      <c r="AF825" s="86">
        <f>Ruimtestaat[[#This Row],[uren / jaar weekend]]+Ruimtestaat[[#This Row],[uren / jaar werkdagen]]</f>
        <v>0</v>
      </c>
      <c r="AG825" s="87">
        <f>Ruimtestaat[[#This Row],[kosten / jaar weekend]]+Ruimtestaat[[#This Row],[kosten / jaar werkdagen]]</f>
        <v>0</v>
      </c>
    </row>
    <row r="826" spans="1:33" ht="15" customHeight="1">
      <c r="A826" s="187">
        <v>6</v>
      </c>
      <c r="B826" s="21" t="str">
        <f>VLOOKUP(Ruimtestaat[[#This Row],[Code]],Locaties[#All],2,FALSE)</f>
        <v>De Thij</v>
      </c>
      <c r="C826" s="247" t="str">
        <f>VLOOKUP(Ruimtestaat[[#This Row],[Code]],Locaties[#All],4,FALSE)</f>
        <v>Thijlaan 30</v>
      </c>
      <c r="D826" s="247" t="str">
        <f>VLOOKUP(Ruimtestaat[[#This Row],[Code]],Locaties[#All],5,FALSE)</f>
        <v>7576 ZB</v>
      </c>
      <c r="E826" s="187" t="str">
        <f>VLOOKUP(Ruimtestaat[[#This Row],[Code]],Locaties[#All],6,FALSE)</f>
        <v>Oldenzaal</v>
      </c>
      <c r="F826" s="248"/>
      <c r="G826" s="246">
        <v>2</v>
      </c>
      <c r="H826" s="246" t="s">
        <v>868</v>
      </c>
      <c r="I826" s="248" t="s">
        <v>804</v>
      </c>
      <c r="J826" s="187">
        <v>16</v>
      </c>
      <c r="K826" s="187" t="str">
        <f>VLOOKUP(Ruimtestaat[[#This Row],[Ruimte code]],Ruimtegroepen[#All],2,FALSE)</f>
        <v>Leslokalen/computerlokaal</v>
      </c>
      <c r="L826" s="247" t="s">
        <v>677</v>
      </c>
      <c r="M826" s="246" t="s">
        <v>270</v>
      </c>
      <c r="N826" s="200">
        <v>55.5</v>
      </c>
      <c r="O826" s="200"/>
      <c r="P826" s="231" t="str">
        <f>VLOOKUP(Ruimtestaat[[#This Row],[Ruimte code]],Ruimtegroepen[#All],4,FALSE)</f>
        <v>L  (Lesruimte)</v>
      </c>
      <c r="Q826" s="201"/>
      <c r="R826" s="202">
        <v>42</v>
      </c>
      <c r="S826" s="202" t="s">
        <v>2</v>
      </c>
      <c r="T826" s="202">
        <f>IF(R826&gt;0,IF(RIGHT(Ruimtestaat[[#This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26" s="202">
        <f>IF(T826&gt;0,VLOOKUP($J826,Ruimtegroepen[],3,FALSE)*VLOOKUP($L826,Vloersoorten[],3,FALSE)*VLOOKUP($S826,Frequenties[],3,FALSE)*VLOOKUP($A826,Locaties[],3,FALSE),0)</f>
        <v>0</v>
      </c>
      <c r="V826" s="202">
        <f>Ruimtestaat[[#This Row],[Uitvoeringen werkdagen]]*Ruimtestaat[[#This Row],[Oppervlak (netto)]]</f>
        <v>11655</v>
      </c>
      <c r="W826" s="242">
        <f>IF(U826&gt;0,Ruimtestaat[[#This Row],[Prest. (m2 /jaar) werkdagen]]/Ruimtestaat[[#This Row],[Norm (m2/uur) werkdagen]],0)</f>
        <v>0</v>
      </c>
      <c r="X826" s="243">
        <f>Ruimtestaat[[#This Row],[uren / jaar werkdagen]]*Tariefsopbouw!$D$38</f>
        <v>0</v>
      </c>
      <c r="Y826" s="33"/>
      <c r="Z826" s="33">
        <f>IF(Ruimtestaat[[#This Row],[Frequentie weekend]]&gt;0,VALUE(LEFT(Y826,1))*R826,0)</f>
        <v>0</v>
      </c>
      <c r="AA826" s="33">
        <f>IF($Z826&gt;0,VLOOKUP($J826,Ruimtegroepen[],3,FALSE)*VLOOKUP($L826,Vloersoorten[],3,FALSE)*VLOOKUP($Y826,Frequenties[],3,FALSE)*VLOOKUP(#REF!,Locaties[],3,FALSE),0)</f>
        <v>0</v>
      </c>
      <c r="AB826" s="33"/>
      <c r="AC826" s="33"/>
      <c r="AD826" s="33">
        <f>Ruimtestaat[[#This Row],[uren / jaar weekend]]*Tariefsopbouw!$D$40</f>
        <v>0</v>
      </c>
      <c r="AE826" s="86">
        <f>Ruimtestaat[[#This Row],[Prest. (m2 /jaar) weekend]]+Ruimtestaat[[#This Row],[Prest. (m2 /jaar) werkdagen]]</f>
        <v>11655</v>
      </c>
      <c r="AF826" s="86">
        <f>Ruimtestaat[[#This Row],[uren / jaar weekend]]+Ruimtestaat[[#This Row],[uren / jaar werkdagen]]</f>
        <v>0</v>
      </c>
      <c r="AG826" s="87">
        <f>Ruimtestaat[[#This Row],[kosten / jaar weekend]]+Ruimtestaat[[#This Row],[kosten / jaar werkdagen]]</f>
        <v>0</v>
      </c>
    </row>
    <row r="827" spans="1:33" ht="15" customHeight="1">
      <c r="A827" s="187">
        <v>6</v>
      </c>
      <c r="B827" s="21" t="str">
        <f>VLOOKUP(Ruimtestaat[[#This Row],[Code]],Locaties[#All],2,FALSE)</f>
        <v>De Thij</v>
      </c>
      <c r="C827" s="247" t="str">
        <f>VLOOKUP(Ruimtestaat[[#This Row],[Code]],Locaties[#All],4,FALSE)</f>
        <v>Thijlaan 30</v>
      </c>
      <c r="D827" s="247" t="str">
        <f>VLOOKUP(Ruimtestaat[[#This Row],[Code]],Locaties[#All],5,FALSE)</f>
        <v>7576 ZB</v>
      </c>
      <c r="E827" s="187" t="str">
        <f>VLOOKUP(Ruimtestaat[[#This Row],[Code]],Locaties[#All],6,FALSE)</f>
        <v>Oldenzaal</v>
      </c>
      <c r="F827" s="248"/>
      <c r="G827" s="246">
        <v>2</v>
      </c>
      <c r="H827" s="246" t="s">
        <v>869</v>
      </c>
      <c r="I827" s="248" t="s">
        <v>804</v>
      </c>
      <c r="J827" s="187">
        <v>16</v>
      </c>
      <c r="K827" s="187" t="str">
        <f>VLOOKUP(Ruimtestaat[[#This Row],[Ruimte code]],Ruimtegroepen[#All],2,FALSE)</f>
        <v>Leslokalen/computerlokaal</v>
      </c>
      <c r="L827" s="247" t="s">
        <v>677</v>
      </c>
      <c r="M827" s="246" t="s">
        <v>270</v>
      </c>
      <c r="N827" s="200">
        <v>55.5</v>
      </c>
      <c r="O827" s="200"/>
      <c r="P827" s="231" t="str">
        <f>VLOOKUP(Ruimtestaat[[#This Row],[Ruimte code]],Ruimtegroepen[#All],4,FALSE)</f>
        <v>L  (Lesruimte)</v>
      </c>
      <c r="Q827" s="201"/>
      <c r="R827" s="202">
        <v>42</v>
      </c>
      <c r="S827" s="202" t="s">
        <v>2</v>
      </c>
      <c r="T827" s="202">
        <f>IF(R827&gt;0,IF(RIGHT(Ruimtestaat[[#This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27" s="202">
        <f>IF(T827&gt;0,VLOOKUP($J827,Ruimtegroepen[],3,FALSE)*VLOOKUP($L827,Vloersoorten[],3,FALSE)*VLOOKUP($S827,Frequenties[],3,FALSE)*VLOOKUP($A827,Locaties[],3,FALSE),0)</f>
        <v>0</v>
      </c>
      <c r="V827" s="202">
        <f>Ruimtestaat[[#This Row],[Uitvoeringen werkdagen]]*Ruimtestaat[[#This Row],[Oppervlak (netto)]]</f>
        <v>11655</v>
      </c>
      <c r="W827" s="242">
        <f>IF(U827&gt;0,Ruimtestaat[[#This Row],[Prest. (m2 /jaar) werkdagen]]/Ruimtestaat[[#This Row],[Norm (m2/uur) werkdagen]],0)</f>
        <v>0</v>
      </c>
      <c r="X827" s="243">
        <f>Ruimtestaat[[#This Row],[uren / jaar werkdagen]]*Tariefsopbouw!$D$38</f>
        <v>0</v>
      </c>
      <c r="Y827" s="33"/>
      <c r="Z827" s="33">
        <f>IF(Ruimtestaat[[#This Row],[Frequentie weekend]]&gt;0,VALUE(LEFT(Y827,1))*R827,0)</f>
        <v>0</v>
      </c>
      <c r="AA827" s="33">
        <f>IF($Z827&gt;0,VLOOKUP($J827,Ruimtegroepen[],3,FALSE)*VLOOKUP($L827,Vloersoorten[],3,FALSE)*VLOOKUP($Y827,Frequenties[],3,FALSE)*VLOOKUP(#REF!,Locaties[],3,FALSE),0)</f>
        <v>0</v>
      </c>
      <c r="AB827" s="33"/>
      <c r="AC827" s="33"/>
      <c r="AD827" s="33">
        <f>Ruimtestaat[[#This Row],[uren / jaar weekend]]*Tariefsopbouw!$D$40</f>
        <v>0</v>
      </c>
      <c r="AE827" s="86">
        <f>Ruimtestaat[[#This Row],[Prest. (m2 /jaar) weekend]]+Ruimtestaat[[#This Row],[Prest. (m2 /jaar) werkdagen]]</f>
        <v>11655</v>
      </c>
      <c r="AF827" s="86">
        <f>Ruimtestaat[[#This Row],[uren / jaar weekend]]+Ruimtestaat[[#This Row],[uren / jaar werkdagen]]</f>
        <v>0</v>
      </c>
      <c r="AG827" s="87">
        <f>Ruimtestaat[[#This Row],[kosten / jaar weekend]]+Ruimtestaat[[#This Row],[kosten / jaar werkdagen]]</f>
        <v>0</v>
      </c>
    </row>
    <row r="828" spans="1:33" ht="15" customHeight="1">
      <c r="A828" s="187">
        <v>6</v>
      </c>
      <c r="B828" s="21" t="str">
        <f>VLOOKUP(Ruimtestaat[[#This Row],[Code]],Locaties[#All],2,FALSE)</f>
        <v>De Thij</v>
      </c>
      <c r="C828" s="247" t="str">
        <f>VLOOKUP(Ruimtestaat[[#This Row],[Code]],Locaties[#All],4,FALSE)</f>
        <v>Thijlaan 30</v>
      </c>
      <c r="D828" s="247" t="str">
        <f>VLOOKUP(Ruimtestaat[[#This Row],[Code]],Locaties[#All],5,FALSE)</f>
        <v>7576 ZB</v>
      </c>
      <c r="E828" s="187" t="str">
        <f>VLOOKUP(Ruimtestaat[[#This Row],[Code]],Locaties[#All],6,FALSE)</f>
        <v>Oldenzaal</v>
      </c>
      <c r="F828" s="248"/>
      <c r="G828" s="246">
        <v>2</v>
      </c>
      <c r="H828" s="246" t="s">
        <v>870</v>
      </c>
      <c r="I828" s="248" t="s">
        <v>864</v>
      </c>
      <c r="J828" s="187">
        <v>16</v>
      </c>
      <c r="K828" s="187" t="str">
        <f>VLOOKUP(Ruimtestaat[[#This Row],[Ruimte code]],Ruimtegroepen[#All],2,FALSE)</f>
        <v>Leslokalen/computerlokaal</v>
      </c>
      <c r="L828" s="247" t="s">
        <v>677</v>
      </c>
      <c r="M828" s="246" t="s">
        <v>270</v>
      </c>
      <c r="N828" s="200">
        <v>127.38</v>
      </c>
      <c r="O828" s="200"/>
      <c r="P828" s="231" t="str">
        <f>VLOOKUP(Ruimtestaat[[#This Row],[Ruimte code]],Ruimtegroepen[#All],4,FALSE)</f>
        <v>L  (Lesruimte)</v>
      </c>
      <c r="Q828" s="201"/>
      <c r="R828" s="202">
        <v>42</v>
      </c>
      <c r="S828" s="202" t="s">
        <v>2</v>
      </c>
      <c r="T828" s="202">
        <f>IF(R828&gt;0,IF(RIGHT(Ruimtestaat[[#This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28" s="202">
        <f>IF(T828&gt;0,VLOOKUP($J828,Ruimtegroepen[],3,FALSE)*VLOOKUP($L828,Vloersoorten[],3,FALSE)*VLOOKUP($S828,Frequenties[],3,FALSE)*VLOOKUP($A828,Locaties[],3,FALSE),0)</f>
        <v>0</v>
      </c>
      <c r="V828" s="202">
        <f>Ruimtestaat[[#This Row],[Uitvoeringen werkdagen]]*Ruimtestaat[[#This Row],[Oppervlak (netto)]]</f>
        <v>26749.8</v>
      </c>
      <c r="W828" s="242">
        <f>IF(U828&gt;0,Ruimtestaat[[#This Row],[Prest. (m2 /jaar) werkdagen]]/Ruimtestaat[[#This Row],[Norm (m2/uur) werkdagen]],0)</f>
        <v>0</v>
      </c>
      <c r="X828" s="243">
        <f>Ruimtestaat[[#This Row],[uren / jaar werkdagen]]*Tariefsopbouw!$D$38</f>
        <v>0</v>
      </c>
      <c r="Y828" s="33"/>
      <c r="Z828" s="33">
        <f>IF(Ruimtestaat[[#This Row],[Frequentie weekend]]&gt;0,VALUE(LEFT(Y828,1))*R828,0)</f>
        <v>0</v>
      </c>
      <c r="AA828" s="33">
        <f>IF($Z828&gt;0,VLOOKUP($J828,Ruimtegroepen[],3,FALSE)*VLOOKUP($L828,Vloersoorten[],3,FALSE)*VLOOKUP($Y828,Frequenties[],3,FALSE)*VLOOKUP(#REF!,Locaties[],3,FALSE),0)</f>
        <v>0</v>
      </c>
      <c r="AB828" s="33"/>
      <c r="AC828" s="33"/>
      <c r="AD828" s="33">
        <f>Ruimtestaat[[#This Row],[uren / jaar weekend]]*Tariefsopbouw!$D$40</f>
        <v>0</v>
      </c>
      <c r="AE828" s="86">
        <f>Ruimtestaat[[#This Row],[Prest. (m2 /jaar) weekend]]+Ruimtestaat[[#This Row],[Prest. (m2 /jaar) werkdagen]]</f>
        <v>26749.8</v>
      </c>
      <c r="AF828" s="86">
        <f>Ruimtestaat[[#This Row],[uren / jaar weekend]]+Ruimtestaat[[#This Row],[uren / jaar werkdagen]]</f>
        <v>0</v>
      </c>
      <c r="AG828" s="87">
        <f>Ruimtestaat[[#This Row],[kosten / jaar weekend]]+Ruimtestaat[[#This Row],[kosten / jaar werkdagen]]</f>
        <v>0</v>
      </c>
    </row>
    <row r="829" spans="1:33" ht="15" customHeight="1">
      <c r="A829" s="187">
        <v>6</v>
      </c>
      <c r="B829" s="21" t="str">
        <f>VLOOKUP(Ruimtestaat[[#This Row],[Code]],Locaties[#All],2,FALSE)</f>
        <v>De Thij</v>
      </c>
      <c r="C829" s="247" t="str">
        <f>VLOOKUP(Ruimtestaat[[#This Row],[Code]],Locaties[#All],4,FALSE)</f>
        <v>Thijlaan 30</v>
      </c>
      <c r="D829" s="247" t="str">
        <f>VLOOKUP(Ruimtestaat[[#This Row],[Code]],Locaties[#All],5,FALSE)</f>
        <v>7576 ZB</v>
      </c>
      <c r="E829" s="187" t="str">
        <f>VLOOKUP(Ruimtestaat[[#This Row],[Code]],Locaties[#All],6,FALSE)</f>
        <v>Oldenzaal</v>
      </c>
      <c r="F829" s="248"/>
      <c r="G829" s="246">
        <v>2</v>
      </c>
      <c r="H829" s="246" t="s">
        <v>871</v>
      </c>
      <c r="I829" s="248" t="s">
        <v>864</v>
      </c>
      <c r="J829" s="187">
        <v>16</v>
      </c>
      <c r="K829" s="187" t="str">
        <f>VLOOKUP(Ruimtestaat[[#This Row],[Ruimte code]],Ruimtegroepen[#All],2,FALSE)</f>
        <v>Leslokalen/computerlokaal</v>
      </c>
      <c r="L829" s="247" t="s">
        <v>677</v>
      </c>
      <c r="M829" s="246" t="s">
        <v>270</v>
      </c>
      <c r="N829" s="200">
        <v>104</v>
      </c>
      <c r="O829" s="200"/>
      <c r="P829" s="231" t="str">
        <f>VLOOKUP(Ruimtestaat[[#This Row],[Ruimte code]],Ruimtegroepen[#All],4,FALSE)</f>
        <v>L  (Lesruimte)</v>
      </c>
      <c r="Q829" s="201"/>
      <c r="R829" s="202">
        <v>42</v>
      </c>
      <c r="S829" s="202" t="s">
        <v>2</v>
      </c>
      <c r="T829" s="202">
        <f>IF(R829&gt;0,IF(RIGHT(Ruimtestaat[[#This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29" s="202">
        <f>IF(T829&gt;0,VLOOKUP($J829,Ruimtegroepen[],3,FALSE)*VLOOKUP($L829,Vloersoorten[],3,FALSE)*VLOOKUP($S829,Frequenties[],3,FALSE)*VLOOKUP($A829,Locaties[],3,FALSE),0)</f>
        <v>0</v>
      </c>
      <c r="V829" s="202">
        <f>Ruimtestaat[[#This Row],[Uitvoeringen werkdagen]]*Ruimtestaat[[#This Row],[Oppervlak (netto)]]</f>
        <v>21840</v>
      </c>
      <c r="W829" s="242">
        <f>IF(U829&gt;0,Ruimtestaat[[#This Row],[Prest. (m2 /jaar) werkdagen]]/Ruimtestaat[[#This Row],[Norm (m2/uur) werkdagen]],0)</f>
        <v>0</v>
      </c>
      <c r="X829" s="243">
        <f>Ruimtestaat[[#This Row],[uren / jaar werkdagen]]*Tariefsopbouw!$D$38</f>
        <v>0</v>
      </c>
      <c r="Y829" s="33"/>
      <c r="Z829" s="33">
        <f>IF(Ruimtestaat[[#This Row],[Frequentie weekend]]&gt;0,VALUE(LEFT(Y829,1))*R829,0)</f>
        <v>0</v>
      </c>
      <c r="AA829" s="33">
        <f>IF($Z829&gt;0,VLOOKUP($J829,Ruimtegroepen[],3,FALSE)*VLOOKUP($L829,Vloersoorten[],3,FALSE)*VLOOKUP($Y829,Frequenties[],3,FALSE)*VLOOKUP(#REF!,Locaties[],3,FALSE),0)</f>
        <v>0</v>
      </c>
      <c r="AB829" s="33"/>
      <c r="AC829" s="33"/>
      <c r="AD829" s="33">
        <f>Ruimtestaat[[#This Row],[uren / jaar weekend]]*Tariefsopbouw!$D$40</f>
        <v>0</v>
      </c>
      <c r="AE829" s="86">
        <f>Ruimtestaat[[#This Row],[Prest. (m2 /jaar) weekend]]+Ruimtestaat[[#This Row],[Prest. (m2 /jaar) werkdagen]]</f>
        <v>21840</v>
      </c>
      <c r="AF829" s="86">
        <f>Ruimtestaat[[#This Row],[uren / jaar weekend]]+Ruimtestaat[[#This Row],[uren / jaar werkdagen]]</f>
        <v>0</v>
      </c>
      <c r="AG829" s="87">
        <f>Ruimtestaat[[#This Row],[kosten / jaar weekend]]+Ruimtestaat[[#This Row],[kosten / jaar werkdagen]]</f>
        <v>0</v>
      </c>
    </row>
    <row r="830" spans="1:33" ht="15" customHeight="1">
      <c r="A830" s="187">
        <v>6</v>
      </c>
      <c r="B830" s="21" t="str">
        <f>VLOOKUP(Ruimtestaat[[#This Row],[Code]],Locaties[#All],2,FALSE)</f>
        <v>De Thij</v>
      </c>
      <c r="C830" s="247" t="str">
        <f>VLOOKUP(Ruimtestaat[[#This Row],[Code]],Locaties[#All],4,FALSE)</f>
        <v>Thijlaan 30</v>
      </c>
      <c r="D830" s="247" t="str">
        <f>VLOOKUP(Ruimtestaat[[#This Row],[Code]],Locaties[#All],5,FALSE)</f>
        <v>7576 ZB</v>
      </c>
      <c r="E830" s="187" t="str">
        <f>VLOOKUP(Ruimtestaat[[#This Row],[Code]],Locaties[#All],6,FALSE)</f>
        <v>Oldenzaal</v>
      </c>
      <c r="F830" s="248"/>
      <c r="G830" s="246">
        <v>2</v>
      </c>
      <c r="H830" s="246" t="s">
        <v>872</v>
      </c>
      <c r="I830" s="248" t="s">
        <v>804</v>
      </c>
      <c r="J830" s="187">
        <v>16</v>
      </c>
      <c r="K830" s="187" t="str">
        <f>VLOOKUP(Ruimtestaat[[#This Row],[Ruimte code]],Ruimtegroepen[#All],2,FALSE)</f>
        <v>Leslokalen/computerlokaal</v>
      </c>
      <c r="L830" s="247" t="s">
        <v>677</v>
      </c>
      <c r="M830" s="246" t="s">
        <v>270</v>
      </c>
      <c r="N830" s="200">
        <v>87.12</v>
      </c>
      <c r="O830" s="200"/>
      <c r="P830" s="231" t="str">
        <f>VLOOKUP(Ruimtestaat[[#This Row],[Ruimte code]],Ruimtegroepen[#All],4,FALSE)</f>
        <v>L  (Lesruimte)</v>
      </c>
      <c r="Q830" s="201"/>
      <c r="R830" s="202">
        <v>42</v>
      </c>
      <c r="S830" s="202" t="s">
        <v>2</v>
      </c>
      <c r="T830" s="202">
        <f>IF(R830&gt;0,IF(RIGHT(Ruimtestaat[[#This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30" s="202">
        <f>IF(T830&gt;0,VLOOKUP($J830,Ruimtegroepen[],3,FALSE)*VLOOKUP($L830,Vloersoorten[],3,FALSE)*VLOOKUP($S830,Frequenties[],3,FALSE)*VLOOKUP($A830,Locaties[],3,FALSE),0)</f>
        <v>0</v>
      </c>
      <c r="V830" s="202">
        <f>Ruimtestaat[[#This Row],[Uitvoeringen werkdagen]]*Ruimtestaat[[#This Row],[Oppervlak (netto)]]</f>
        <v>18295.2</v>
      </c>
      <c r="W830" s="242">
        <f>IF(U830&gt;0,Ruimtestaat[[#This Row],[Prest. (m2 /jaar) werkdagen]]/Ruimtestaat[[#This Row],[Norm (m2/uur) werkdagen]],0)</f>
        <v>0</v>
      </c>
      <c r="X830" s="243">
        <f>Ruimtestaat[[#This Row],[uren / jaar werkdagen]]*Tariefsopbouw!$D$38</f>
        <v>0</v>
      </c>
      <c r="Y830" s="33"/>
      <c r="Z830" s="33">
        <f>IF(Ruimtestaat[[#This Row],[Frequentie weekend]]&gt;0,VALUE(LEFT(Y830,1))*R830,0)</f>
        <v>0</v>
      </c>
      <c r="AA830" s="33">
        <f>IF($Z830&gt;0,VLOOKUP($J830,Ruimtegroepen[],3,FALSE)*VLOOKUP($L830,Vloersoorten[],3,FALSE)*VLOOKUP($Y830,Frequenties[],3,FALSE)*VLOOKUP(#REF!,Locaties[],3,FALSE),0)</f>
        <v>0</v>
      </c>
      <c r="AB830" s="33"/>
      <c r="AC830" s="33"/>
      <c r="AD830" s="33">
        <f>Ruimtestaat[[#This Row],[uren / jaar weekend]]*Tariefsopbouw!$D$40</f>
        <v>0</v>
      </c>
      <c r="AE830" s="86">
        <f>Ruimtestaat[[#This Row],[Prest. (m2 /jaar) weekend]]+Ruimtestaat[[#This Row],[Prest. (m2 /jaar) werkdagen]]</f>
        <v>18295.2</v>
      </c>
      <c r="AF830" s="86">
        <f>Ruimtestaat[[#This Row],[uren / jaar weekend]]+Ruimtestaat[[#This Row],[uren / jaar werkdagen]]</f>
        <v>0</v>
      </c>
      <c r="AG830" s="87">
        <f>Ruimtestaat[[#This Row],[kosten / jaar weekend]]+Ruimtestaat[[#This Row],[kosten / jaar werkdagen]]</f>
        <v>0</v>
      </c>
    </row>
    <row r="831" spans="1:33" ht="15" customHeight="1">
      <c r="A831" s="187">
        <v>6</v>
      </c>
      <c r="B831" s="21" t="str">
        <f>VLOOKUP(Ruimtestaat[[#This Row],[Code]],Locaties[#All],2,FALSE)</f>
        <v>De Thij</v>
      </c>
      <c r="C831" s="247" t="str">
        <f>VLOOKUP(Ruimtestaat[[#This Row],[Code]],Locaties[#All],4,FALSE)</f>
        <v>Thijlaan 30</v>
      </c>
      <c r="D831" s="247" t="str">
        <f>VLOOKUP(Ruimtestaat[[#This Row],[Code]],Locaties[#All],5,FALSE)</f>
        <v>7576 ZB</v>
      </c>
      <c r="E831" s="187" t="str">
        <f>VLOOKUP(Ruimtestaat[[#This Row],[Code]],Locaties[#All],6,FALSE)</f>
        <v>Oldenzaal</v>
      </c>
      <c r="F831" s="248"/>
      <c r="G831" s="246">
        <v>2</v>
      </c>
      <c r="H831" s="246" t="s">
        <v>873</v>
      </c>
      <c r="I831" s="248" t="s">
        <v>804</v>
      </c>
      <c r="J831" s="187">
        <v>16</v>
      </c>
      <c r="K831" s="187" t="str">
        <f>VLOOKUP(Ruimtestaat[[#This Row],[Ruimte code]],Ruimtegroepen[#All],2,FALSE)</f>
        <v>Leslokalen/computerlokaal</v>
      </c>
      <c r="L831" s="247" t="s">
        <v>677</v>
      </c>
      <c r="M831" s="246" t="s">
        <v>270</v>
      </c>
      <c r="N831" s="200">
        <v>56.09</v>
      </c>
      <c r="O831" s="200"/>
      <c r="P831" s="231" t="str">
        <f>VLOOKUP(Ruimtestaat[[#This Row],[Ruimte code]],Ruimtegroepen[#All],4,FALSE)</f>
        <v>L  (Lesruimte)</v>
      </c>
      <c r="Q831" s="201"/>
      <c r="R831" s="202">
        <v>42</v>
      </c>
      <c r="S831" s="202" t="s">
        <v>2</v>
      </c>
      <c r="T831" s="202">
        <f>IF(R831&gt;0,IF(RIGHT(Ruimtestaat[[#This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31" s="202">
        <f>IF(T831&gt;0,VLOOKUP($J831,Ruimtegroepen[],3,FALSE)*VLOOKUP($L831,Vloersoorten[],3,FALSE)*VLOOKUP($S831,Frequenties[],3,FALSE)*VLOOKUP($A831,Locaties[],3,FALSE),0)</f>
        <v>0</v>
      </c>
      <c r="V831" s="202">
        <f>Ruimtestaat[[#This Row],[Uitvoeringen werkdagen]]*Ruimtestaat[[#This Row],[Oppervlak (netto)]]</f>
        <v>11778.900000000001</v>
      </c>
      <c r="W831" s="242">
        <f>IF(U831&gt;0,Ruimtestaat[[#This Row],[Prest. (m2 /jaar) werkdagen]]/Ruimtestaat[[#This Row],[Norm (m2/uur) werkdagen]],0)</f>
        <v>0</v>
      </c>
      <c r="X831" s="243">
        <f>Ruimtestaat[[#This Row],[uren / jaar werkdagen]]*Tariefsopbouw!$D$38</f>
        <v>0</v>
      </c>
      <c r="Y831" s="33"/>
      <c r="Z831" s="33">
        <f>IF(Ruimtestaat[[#This Row],[Frequentie weekend]]&gt;0,VALUE(LEFT(Y831,1))*R831,0)</f>
        <v>0</v>
      </c>
      <c r="AA831" s="33">
        <f>IF($Z831&gt;0,VLOOKUP($J831,Ruimtegroepen[],3,FALSE)*VLOOKUP($L831,Vloersoorten[],3,FALSE)*VLOOKUP($Y831,Frequenties[],3,FALSE)*VLOOKUP(#REF!,Locaties[],3,FALSE),0)</f>
        <v>0</v>
      </c>
      <c r="AB831" s="33"/>
      <c r="AC831" s="33"/>
      <c r="AD831" s="33">
        <f>Ruimtestaat[[#This Row],[uren / jaar weekend]]*Tariefsopbouw!$D$40</f>
        <v>0</v>
      </c>
      <c r="AE831" s="86">
        <f>Ruimtestaat[[#This Row],[Prest. (m2 /jaar) weekend]]+Ruimtestaat[[#This Row],[Prest. (m2 /jaar) werkdagen]]</f>
        <v>11778.900000000001</v>
      </c>
      <c r="AF831" s="86">
        <f>Ruimtestaat[[#This Row],[uren / jaar weekend]]+Ruimtestaat[[#This Row],[uren / jaar werkdagen]]</f>
        <v>0</v>
      </c>
      <c r="AG831" s="87">
        <f>Ruimtestaat[[#This Row],[kosten / jaar weekend]]+Ruimtestaat[[#This Row],[kosten / jaar werkdagen]]</f>
        <v>0</v>
      </c>
    </row>
    <row r="832" spans="1:33" ht="15" customHeight="1">
      <c r="A832" s="187">
        <v>6</v>
      </c>
      <c r="B832" s="21" t="str">
        <f>VLOOKUP(Ruimtestaat[[#This Row],[Code]],Locaties[#All],2,FALSE)</f>
        <v>De Thij</v>
      </c>
      <c r="C832" s="247" t="str">
        <f>VLOOKUP(Ruimtestaat[[#This Row],[Code]],Locaties[#All],4,FALSE)</f>
        <v>Thijlaan 30</v>
      </c>
      <c r="D832" s="247" t="str">
        <f>VLOOKUP(Ruimtestaat[[#This Row],[Code]],Locaties[#All],5,FALSE)</f>
        <v>7576 ZB</v>
      </c>
      <c r="E832" s="187" t="str">
        <f>VLOOKUP(Ruimtestaat[[#This Row],[Code]],Locaties[#All],6,FALSE)</f>
        <v>Oldenzaal</v>
      </c>
      <c r="F832" s="248"/>
      <c r="G832" s="246">
        <v>2</v>
      </c>
      <c r="H832" s="246" t="s">
        <v>874</v>
      </c>
      <c r="I832" s="248" t="s">
        <v>864</v>
      </c>
      <c r="J832" s="247">
        <v>16</v>
      </c>
      <c r="K832" s="247" t="str">
        <f>VLOOKUP(Ruimtestaat[[#This Row],[Ruimte code]],Ruimtegroepen[#All],2,FALSE)</f>
        <v>Leslokalen/computerlokaal</v>
      </c>
      <c r="L832" s="247" t="s">
        <v>677</v>
      </c>
      <c r="M832" s="246" t="s">
        <v>270</v>
      </c>
      <c r="N832" s="200">
        <v>120</v>
      </c>
      <c r="O832" s="200"/>
      <c r="P832" s="231" t="str">
        <f>VLOOKUP(Ruimtestaat[[#This Row],[Ruimte code]],Ruimtegroepen[#All],4,FALSE)</f>
        <v>L  (Lesruimte)</v>
      </c>
      <c r="Q832" s="201"/>
      <c r="R832" s="202">
        <v>42</v>
      </c>
      <c r="S832" s="202" t="s">
        <v>2</v>
      </c>
      <c r="T832" s="202">
        <f>IF(R832&gt;0,IF(RIGHT(Ruimtestaat[[#This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32" s="202">
        <f>IF(T832&gt;0,VLOOKUP($J832,Ruimtegroepen[],3,FALSE)*VLOOKUP($L832,Vloersoorten[],3,FALSE)*VLOOKUP($S832,Frequenties[],3,FALSE)*VLOOKUP($A832,Locaties[],3,FALSE),0)</f>
        <v>0</v>
      </c>
      <c r="V832" s="202">
        <f>Ruimtestaat[[#This Row],[Uitvoeringen werkdagen]]*Ruimtestaat[[#This Row],[Oppervlak (netto)]]</f>
        <v>25200</v>
      </c>
      <c r="W832" s="242">
        <f>IF(U832&gt;0,Ruimtestaat[[#This Row],[Prest. (m2 /jaar) werkdagen]]/Ruimtestaat[[#This Row],[Norm (m2/uur) werkdagen]],0)</f>
        <v>0</v>
      </c>
      <c r="X832" s="243">
        <f>Ruimtestaat[[#This Row],[uren / jaar werkdagen]]*Tariefsopbouw!$D$38</f>
        <v>0</v>
      </c>
      <c r="Y832" s="33"/>
      <c r="Z832" s="33">
        <f>IF(Ruimtestaat[[#This Row],[Frequentie weekend]]&gt;0,VALUE(LEFT(Y832,1))*R832,0)</f>
        <v>0</v>
      </c>
      <c r="AA832" s="33">
        <f>IF($Z832&gt;0,VLOOKUP($J832,Ruimtegroepen[],3,FALSE)*VLOOKUP($L832,Vloersoorten[],3,FALSE)*VLOOKUP($Y832,Frequenties[],3,FALSE)*VLOOKUP(#REF!,Locaties[],3,FALSE),0)</f>
        <v>0</v>
      </c>
      <c r="AB832" s="33"/>
      <c r="AC832" s="33"/>
      <c r="AD832" s="33">
        <f>Ruimtestaat[[#This Row],[uren / jaar weekend]]*Tariefsopbouw!$D$40</f>
        <v>0</v>
      </c>
      <c r="AE832" s="86">
        <f>Ruimtestaat[[#This Row],[Prest. (m2 /jaar) weekend]]+Ruimtestaat[[#This Row],[Prest. (m2 /jaar) werkdagen]]</f>
        <v>25200</v>
      </c>
      <c r="AF832" s="86">
        <f>Ruimtestaat[[#This Row],[uren / jaar weekend]]+Ruimtestaat[[#This Row],[uren / jaar werkdagen]]</f>
        <v>0</v>
      </c>
      <c r="AG832" s="87">
        <f>Ruimtestaat[[#This Row],[kosten / jaar weekend]]+Ruimtestaat[[#This Row],[kosten / jaar werkdagen]]</f>
        <v>0</v>
      </c>
    </row>
    <row r="833" spans="1:33" ht="15" customHeight="1">
      <c r="A833" s="187">
        <v>6</v>
      </c>
      <c r="B833" s="21" t="str">
        <f>VLOOKUP(Ruimtestaat[[#This Row],[Code]],Locaties[#All],2,FALSE)</f>
        <v>De Thij</v>
      </c>
      <c r="C833" s="247" t="str">
        <f>VLOOKUP(Ruimtestaat[[#This Row],[Code]],Locaties[#All],4,FALSE)</f>
        <v>Thijlaan 30</v>
      </c>
      <c r="D833" s="247" t="str">
        <f>VLOOKUP(Ruimtestaat[[#This Row],[Code]],Locaties[#All],5,FALSE)</f>
        <v>7576 ZB</v>
      </c>
      <c r="E833" s="187" t="str">
        <f>VLOOKUP(Ruimtestaat[[#This Row],[Code]],Locaties[#All],6,FALSE)</f>
        <v>Oldenzaal</v>
      </c>
      <c r="F833" s="248"/>
      <c r="G833" s="246">
        <v>2</v>
      </c>
      <c r="H833" s="246" t="s">
        <v>875</v>
      </c>
      <c r="I833" s="248" t="s">
        <v>804</v>
      </c>
      <c r="J833" s="247">
        <v>16</v>
      </c>
      <c r="K833" s="247" t="str">
        <f>VLOOKUP(Ruimtestaat[[#This Row],[Ruimte code]],Ruimtegroepen[#All],2,FALSE)</f>
        <v>Leslokalen/computerlokaal</v>
      </c>
      <c r="L833" s="247" t="s">
        <v>677</v>
      </c>
      <c r="M833" s="246" t="s">
        <v>270</v>
      </c>
      <c r="N833" s="200">
        <v>50.2</v>
      </c>
      <c r="O833" s="200"/>
      <c r="P833" s="231" t="str">
        <f>VLOOKUP(Ruimtestaat[[#This Row],[Ruimte code]],Ruimtegroepen[#All],4,FALSE)</f>
        <v>L  (Lesruimte)</v>
      </c>
      <c r="Q833" s="201"/>
      <c r="R833" s="202">
        <v>42</v>
      </c>
      <c r="S833" s="202" t="s">
        <v>2</v>
      </c>
      <c r="T833" s="202">
        <f>IF(R833&gt;0,IF(RIGHT(Ruimtestaat[[#This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33" s="202">
        <f>IF(T833&gt;0,VLOOKUP($J833,Ruimtegroepen[],3,FALSE)*VLOOKUP($L833,Vloersoorten[],3,FALSE)*VLOOKUP($S833,Frequenties[],3,FALSE)*VLOOKUP($A833,Locaties[],3,FALSE),0)</f>
        <v>0</v>
      </c>
      <c r="V833" s="202">
        <f>Ruimtestaat[[#This Row],[Uitvoeringen werkdagen]]*Ruimtestaat[[#This Row],[Oppervlak (netto)]]</f>
        <v>10542</v>
      </c>
      <c r="W833" s="242">
        <f>IF(U833&gt;0,Ruimtestaat[[#This Row],[Prest. (m2 /jaar) werkdagen]]/Ruimtestaat[[#This Row],[Norm (m2/uur) werkdagen]],0)</f>
        <v>0</v>
      </c>
      <c r="X833" s="243">
        <f>Ruimtestaat[[#This Row],[uren / jaar werkdagen]]*Tariefsopbouw!$D$38</f>
        <v>0</v>
      </c>
      <c r="Y833" s="33"/>
      <c r="Z833" s="33">
        <f>IF(Ruimtestaat[[#This Row],[Frequentie weekend]]&gt;0,VALUE(LEFT(Y833,1))*R833,0)</f>
        <v>0</v>
      </c>
      <c r="AA833" s="33">
        <f>IF($Z833&gt;0,VLOOKUP($J833,Ruimtegroepen[],3,FALSE)*VLOOKUP($L833,Vloersoorten[],3,FALSE)*VLOOKUP($Y833,Frequenties[],3,FALSE)*VLOOKUP(#REF!,Locaties[],3,FALSE),0)</f>
        <v>0</v>
      </c>
      <c r="AB833" s="33"/>
      <c r="AC833" s="33"/>
      <c r="AD833" s="33">
        <f>Ruimtestaat[[#This Row],[uren / jaar weekend]]*Tariefsopbouw!$D$40</f>
        <v>0</v>
      </c>
      <c r="AE833" s="86">
        <f>Ruimtestaat[[#This Row],[Prest. (m2 /jaar) weekend]]+Ruimtestaat[[#This Row],[Prest. (m2 /jaar) werkdagen]]</f>
        <v>10542</v>
      </c>
      <c r="AF833" s="86">
        <f>Ruimtestaat[[#This Row],[uren / jaar weekend]]+Ruimtestaat[[#This Row],[uren / jaar werkdagen]]</f>
        <v>0</v>
      </c>
      <c r="AG833" s="87">
        <f>Ruimtestaat[[#This Row],[kosten / jaar weekend]]+Ruimtestaat[[#This Row],[kosten / jaar werkdagen]]</f>
        <v>0</v>
      </c>
    </row>
    <row r="834" spans="1:33" ht="15" customHeight="1">
      <c r="A834" s="187">
        <v>6</v>
      </c>
      <c r="B834" s="21" t="str">
        <f>VLOOKUP(Ruimtestaat[[#This Row],[Code]],Locaties[#All],2,FALSE)</f>
        <v>De Thij</v>
      </c>
      <c r="C834" s="247" t="str">
        <f>VLOOKUP(Ruimtestaat[[#This Row],[Code]],Locaties[#All],4,FALSE)</f>
        <v>Thijlaan 30</v>
      </c>
      <c r="D834" s="247" t="str">
        <f>VLOOKUP(Ruimtestaat[[#This Row],[Code]],Locaties[#All],5,FALSE)</f>
        <v>7576 ZB</v>
      </c>
      <c r="E834" s="187" t="str">
        <f>VLOOKUP(Ruimtestaat[[#This Row],[Code]],Locaties[#All],6,FALSE)</f>
        <v>Oldenzaal</v>
      </c>
      <c r="F834" s="248"/>
      <c r="G834" s="246">
        <v>2</v>
      </c>
      <c r="H834" s="246" t="s">
        <v>876</v>
      </c>
      <c r="I834" s="248" t="s">
        <v>864</v>
      </c>
      <c r="J834" s="187">
        <v>16</v>
      </c>
      <c r="K834" s="187" t="str">
        <f>VLOOKUP(Ruimtestaat[[#This Row],[Ruimte code]],Ruimtegroepen[#All],2,FALSE)</f>
        <v>Leslokalen/computerlokaal</v>
      </c>
      <c r="L834" s="247" t="s">
        <v>677</v>
      </c>
      <c r="M834" s="246" t="s">
        <v>270</v>
      </c>
      <c r="N834" s="200">
        <v>243.59</v>
      </c>
      <c r="O834" s="200"/>
      <c r="P834" s="231" t="str">
        <f>VLOOKUP(Ruimtestaat[[#This Row],[Ruimte code]],Ruimtegroepen[#All],4,FALSE)</f>
        <v>L  (Lesruimte)</v>
      </c>
      <c r="Q834" s="201"/>
      <c r="R834" s="202">
        <v>42</v>
      </c>
      <c r="S834" s="202" t="s">
        <v>2</v>
      </c>
      <c r="T834" s="202">
        <f>IF(R834&gt;0,IF(RIGHT(Ruimtestaat[[#This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34" s="202">
        <f>IF(T834&gt;0,VLOOKUP($J834,Ruimtegroepen[],3,FALSE)*VLOOKUP($L834,Vloersoorten[],3,FALSE)*VLOOKUP($S834,Frequenties[],3,FALSE)*VLOOKUP($A834,Locaties[],3,FALSE),0)</f>
        <v>0</v>
      </c>
      <c r="V834" s="202">
        <f>Ruimtestaat[[#This Row],[Uitvoeringen werkdagen]]*Ruimtestaat[[#This Row],[Oppervlak (netto)]]</f>
        <v>51153.9</v>
      </c>
      <c r="W834" s="242">
        <f>IF(U834&gt;0,Ruimtestaat[[#This Row],[Prest. (m2 /jaar) werkdagen]]/Ruimtestaat[[#This Row],[Norm (m2/uur) werkdagen]],0)</f>
        <v>0</v>
      </c>
      <c r="X834" s="243">
        <f>Ruimtestaat[[#This Row],[uren / jaar werkdagen]]*Tariefsopbouw!$D$38</f>
        <v>0</v>
      </c>
      <c r="Y834" s="33"/>
      <c r="Z834" s="33">
        <f>IF(Ruimtestaat[[#This Row],[Frequentie weekend]]&gt;0,VALUE(LEFT(Y834,1))*R834,0)</f>
        <v>0</v>
      </c>
      <c r="AA834" s="33">
        <f>IF($Z834&gt;0,VLOOKUP($J834,Ruimtegroepen[],3,FALSE)*VLOOKUP($L834,Vloersoorten[],3,FALSE)*VLOOKUP($Y834,Frequenties[],3,FALSE)*VLOOKUP(#REF!,Locaties[],3,FALSE),0)</f>
        <v>0</v>
      </c>
      <c r="AB834" s="33"/>
      <c r="AC834" s="33"/>
      <c r="AD834" s="33">
        <f>Ruimtestaat[[#This Row],[uren / jaar weekend]]*Tariefsopbouw!$D$40</f>
        <v>0</v>
      </c>
      <c r="AE834" s="86">
        <f>Ruimtestaat[[#This Row],[Prest. (m2 /jaar) weekend]]+Ruimtestaat[[#This Row],[Prest. (m2 /jaar) werkdagen]]</f>
        <v>51153.9</v>
      </c>
      <c r="AF834" s="86">
        <f>Ruimtestaat[[#This Row],[uren / jaar weekend]]+Ruimtestaat[[#This Row],[uren / jaar werkdagen]]</f>
        <v>0</v>
      </c>
      <c r="AG834" s="87">
        <f>Ruimtestaat[[#This Row],[kosten / jaar weekend]]+Ruimtestaat[[#This Row],[kosten / jaar werkdagen]]</f>
        <v>0</v>
      </c>
    </row>
    <row r="835" spans="1:33" ht="15" customHeight="1">
      <c r="A835" s="187">
        <v>6</v>
      </c>
      <c r="B835" s="21" t="str">
        <f>VLOOKUP(Ruimtestaat[[#This Row],[Code]],Locaties[#All],2,FALSE)</f>
        <v>De Thij</v>
      </c>
      <c r="C835" s="247" t="str">
        <f>VLOOKUP(Ruimtestaat[[#This Row],[Code]],Locaties[#All],4,FALSE)</f>
        <v>Thijlaan 30</v>
      </c>
      <c r="D835" s="247" t="str">
        <f>VLOOKUP(Ruimtestaat[[#This Row],[Code]],Locaties[#All],5,FALSE)</f>
        <v>7576 ZB</v>
      </c>
      <c r="E835" s="187" t="str">
        <f>VLOOKUP(Ruimtestaat[[#This Row],[Code]],Locaties[#All],6,FALSE)</f>
        <v>Oldenzaal</v>
      </c>
      <c r="F835" s="248"/>
      <c r="G835" s="246">
        <v>2</v>
      </c>
      <c r="H835" s="246" t="s">
        <v>877</v>
      </c>
      <c r="I835" s="248" t="s">
        <v>804</v>
      </c>
      <c r="J835" s="247">
        <v>16</v>
      </c>
      <c r="K835" s="247" t="str">
        <f>VLOOKUP(Ruimtestaat[[#This Row],[Ruimte code]],Ruimtegroepen[#All],2,FALSE)</f>
        <v>Leslokalen/computerlokaal</v>
      </c>
      <c r="L835" s="247" t="s">
        <v>677</v>
      </c>
      <c r="M835" s="246" t="s">
        <v>270</v>
      </c>
      <c r="N835" s="200">
        <v>56.09</v>
      </c>
      <c r="O835" s="200"/>
      <c r="P835" s="231" t="str">
        <f>VLOOKUP(Ruimtestaat[[#This Row],[Ruimte code]],Ruimtegroepen[#All],4,FALSE)</f>
        <v>L  (Lesruimte)</v>
      </c>
      <c r="Q835" s="201"/>
      <c r="R835" s="202">
        <v>42</v>
      </c>
      <c r="S835" s="202" t="s">
        <v>2</v>
      </c>
      <c r="T835" s="202">
        <f>IF(R835&gt;0,IF(RIGHT(Ruimtestaat[[#This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35" s="202">
        <f>IF(T835&gt;0,VLOOKUP($J835,Ruimtegroepen[],3,FALSE)*VLOOKUP($L835,Vloersoorten[],3,FALSE)*VLOOKUP($S835,Frequenties[],3,FALSE)*VLOOKUP($A835,Locaties[],3,FALSE),0)</f>
        <v>0</v>
      </c>
      <c r="V835" s="202">
        <f>Ruimtestaat[[#This Row],[Uitvoeringen werkdagen]]*Ruimtestaat[[#This Row],[Oppervlak (netto)]]</f>
        <v>11778.900000000001</v>
      </c>
      <c r="W835" s="242">
        <f>IF(U835&gt;0,Ruimtestaat[[#This Row],[Prest. (m2 /jaar) werkdagen]]/Ruimtestaat[[#This Row],[Norm (m2/uur) werkdagen]],0)</f>
        <v>0</v>
      </c>
      <c r="X835" s="243">
        <f>Ruimtestaat[[#This Row],[uren / jaar werkdagen]]*Tariefsopbouw!$D$38</f>
        <v>0</v>
      </c>
      <c r="Y835" s="33"/>
      <c r="Z835" s="33">
        <f>IF(Ruimtestaat[[#This Row],[Frequentie weekend]]&gt;0,VALUE(LEFT(Y835,1))*R835,0)</f>
        <v>0</v>
      </c>
      <c r="AA835" s="33">
        <f>IF($Z835&gt;0,VLOOKUP($J835,Ruimtegroepen[],3,FALSE)*VLOOKUP($L835,Vloersoorten[],3,FALSE)*VLOOKUP($Y835,Frequenties[],3,FALSE)*VLOOKUP(#REF!,Locaties[],3,FALSE),0)</f>
        <v>0</v>
      </c>
      <c r="AB835" s="33"/>
      <c r="AC835" s="33"/>
      <c r="AD835" s="33">
        <f>Ruimtestaat[[#This Row],[uren / jaar weekend]]*Tariefsopbouw!$D$40</f>
        <v>0</v>
      </c>
      <c r="AE835" s="86">
        <f>Ruimtestaat[[#This Row],[Prest. (m2 /jaar) weekend]]+Ruimtestaat[[#This Row],[Prest. (m2 /jaar) werkdagen]]</f>
        <v>11778.900000000001</v>
      </c>
      <c r="AF835" s="86">
        <f>Ruimtestaat[[#This Row],[uren / jaar weekend]]+Ruimtestaat[[#This Row],[uren / jaar werkdagen]]</f>
        <v>0</v>
      </c>
      <c r="AG835" s="87">
        <f>Ruimtestaat[[#This Row],[kosten / jaar weekend]]+Ruimtestaat[[#This Row],[kosten / jaar werkdagen]]</f>
        <v>0</v>
      </c>
    </row>
    <row r="836" spans="1:33" ht="15" customHeight="1">
      <c r="A836" s="187">
        <v>6</v>
      </c>
      <c r="B836" s="21" t="str">
        <f>VLOOKUP(Ruimtestaat[[#This Row],[Code]],Locaties[#All],2,FALSE)</f>
        <v>De Thij</v>
      </c>
      <c r="C836" s="247" t="str">
        <f>VLOOKUP(Ruimtestaat[[#This Row],[Code]],Locaties[#All],4,FALSE)</f>
        <v>Thijlaan 30</v>
      </c>
      <c r="D836" s="247" t="str">
        <f>VLOOKUP(Ruimtestaat[[#This Row],[Code]],Locaties[#All],5,FALSE)</f>
        <v>7576 ZB</v>
      </c>
      <c r="E836" s="187" t="str">
        <f>VLOOKUP(Ruimtestaat[[#This Row],[Code]],Locaties[#All],6,FALSE)</f>
        <v>Oldenzaal</v>
      </c>
      <c r="F836" s="248"/>
      <c r="G836" s="246">
        <v>2</v>
      </c>
      <c r="H836" s="246" t="s">
        <v>878</v>
      </c>
      <c r="I836" s="248" t="s">
        <v>804</v>
      </c>
      <c r="J836" s="187">
        <v>16</v>
      </c>
      <c r="K836" s="187" t="str">
        <f>VLOOKUP(Ruimtestaat[[#This Row],[Ruimte code]],Ruimtegroepen[#All],2,FALSE)</f>
        <v>Leslokalen/computerlokaal</v>
      </c>
      <c r="L836" s="247" t="s">
        <v>677</v>
      </c>
      <c r="M836" s="246" t="s">
        <v>270</v>
      </c>
      <c r="N836" s="200">
        <v>55.5</v>
      </c>
      <c r="O836" s="200"/>
      <c r="P836" s="231" t="str">
        <f>VLOOKUP(Ruimtestaat[[#This Row],[Ruimte code]],Ruimtegroepen[#All],4,FALSE)</f>
        <v>L  (Lesruimte)</v>
      </c>
      <c r="Q836" s="201"/>
      <c r="R836" s="202">
        <v>42</v>
      </c>
      <c r="S836" s="202" t="s">
        <v>2</v>
      </c>
      <c r="T836" s="202">
        <f>IF(R836&gt;0,IF(RIGHT(Ruimtestaat[[#This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36" s="202">
        <f>IF(T836&gt;0,VLOOKUP($J836,Ruimtegroepen[],3,FALSE)*VLOOKUP($L836,Vloersoorten[],3,FALSE)*VLOOKUP($S836,Frequenties[],3,FALSE)*VLOOKUP($A836,Locaties[],3,FALSE),0)</f>
        <v>0</v>
      </c>
      <c r="V836" s="202">
        <f>Ruimtestaat[[#This Row],[Uitvoeringen werkdagen]]*Ruimtestaat[[#This Row],[Oppervlak (netto)]]</f>
        <v>11655</v>
      </c>
      <c r="W836" s="242">
        <f>IF(U836&gt;0,Ruimtestaat[[#This Row],[Prest. (m2 /jaar) werkdagen]]/Ruimtestaat[[#This Row],[Norm (m2/uur) werkdagen]],0)</f>
        <v>0</v>
      </c>
      <c r="X836" s="243">
        <f>Ruimtestaat[[#This Row],[uren / jaar werkdagen]]*Tariefsopbouw!$D$38</f>
        <v>0</v>
      </c>
      <c r="Y836" s="33"/>
      <c r="Z836" s="33">
        <f>IF(Ruimtestaat[[#This Row],[Frequentie weekend]]&gt;0,VALUE(LEFT(Y836,1))*R836,0)</f>
        <v>0</v>
      </c>
      <c r="AA836" s="33">
        <f>IF($Z836&gt;0,VLOOKUP($J836,Ruimtegroepen[],3,FALSE)*VLOOKUP($L836,Vloersoorten[],3,FALSE)*VLOOKUP($Y836,Frequenties[],3,FALSE)*VLOOKUP(#REF!,Locaties[],3,FALSE),0)</f>
        <v>0</v>
      </c>
      <c r="AB836" s="33"/>
      <c r="AC836" s="33"/>
      <c r="AD836" s="33">
        <f>Ruimtestaat[[#This Row],[uren / jaar weekend]]*Tariefsopbouw!$D$40</f>
        <v>0</v>
      </c>
      <c r="AE836" s="86">
        <f>Ruimtestaat[[#This Row],[Prest. (m2 /jaar) weekend]]+Ruimtestaat[[#This Row],[Prest. (m2 /jaar) werkdagen]]</f>
        <v>11655</v>
      </c>
      <c r="AF836" s="86">
        <f>Ruimtestaat[[#This Row],[uren / jaar weekend]]+Ruimtestaat[[#This Row],[uren / jaar werkdagen]]</f>
        <v>0</v>
      </c>
      <c r="AG836" s="87">
        <f>Ruimtestaat[[#This Row],[kosten / jaar weekend]]+Ruimtestaat[[#This Row],[kosten / jaar werkdagen]]</f>
        <v>0</v>
      </c>
    </row>
    <row r="837" spans="1:33" ht="15" customHeight="1">
      <c r="A837" s="187">
        <v>6</v>
      </c>
      <c r="B837" s="21" t="str">
        <f>VLOOKUP(Ruimtestaat[[#This Row],[Code]],Locaties[#All],2,FALSE)</f>
        <v>De Thij</v>
      </c>
      <c r="C837" s="247" t="str">
        <f>VLOOKUP(Ruimtestaat[[#This Row],[Code]],Locaties[#All],4,FALSE)</f>
        <v>Thijlaan 30</v>
      </c>
      <c r="D837" s="247" t="str">
        <f>VLOOKUP(Ruimtestaat[[#This Row],[Code]],Locaties[#All],5,FALSE)</f>
        <v>7576 ZB</v>
      </c>
      <c r="E837" s="187" t="str">
        <f>VLOOKUP(Ruimtestaat[[#This Row],[Code]],Locaties[#All],6,FALSE)</f>
        <v>Oldenzaal</v>
      </c>
      <c r="F837" s="248"/>
      <c r="G837" s="246">
        <v>2</v>
      </c>
      <c r="H837" s="246" t="s">
        <v>879</v>
      </c>
      <c r="I837" s="248" t="s">
        <v>659</v>
      </c>
      <c r="J837" s="187">
        <v>2</v>
      </c>
      <c r="K837" s="187" t="str">
        <f>VLOOKUP(Ruimtestaat[[#This Row],[Ruimte code]],Ruimtegroepen[#All],2,FALSE)</f>
        <v>Kantoren/kantoortuin</v>
      </c>
      <c r="L837" s="247" t="s">
        <v>677</v>
      </c>
      <c r="M837" s="246" t="s">
        <v>270</v>
      </c>
      <c r="N837" s="200">
        <v>52.47</v>
      </c>
      <c r="O837" s="200"/>
      <c r="P837" s="231" t="str">
        <f>VLOOKUP(Ruimtestaat[[#This Row],[Ruimte code]],Ruimtegroepen[#All],4,FALSE)</f>
        <v>B  (Bureauruimte)</v>
      </c>
      <c r="Q837" s="201"/>
      <c r="R837" s="202">
        <v>42</v>
      </c>
      <c r="S837" s="202" t="s">
        <v>2</v>
      </c>
      <c r="T837" s="202">
        <f>IF(R837&gt;0,IF(RIGHT(Ruimtestaat[[#This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37" s="202">
        <f>IF(T837&gt;0,VLOOKUP($J837,Ruimtegroepen[],3,FALSE)*VLOOKUP($L837,Vloersoorten[],3,FALSE)*VLOOKUP($S837,Frequenties[],3,FALSE)*VLOOKUP($A837,Locaties[],3,FALSE),0)</f>
        <v>0</v>
      </c>
      <c r="V837" s="202">
        <f>Ruimtestaat[[#This Row],[Uitvoeringen werkdagen]]*Ruimtestaat[[#This Row],[Oppervlak (netto)]]</f>
        <v>11018.699999999999</v>
      </c>
      <c r="W837" s="242">
        <f>IF(U837&gt;0,Ruimtestaat[[#This Row],[Prest. (m2 /jaar) werkdagen]]/Ruimtestaat[[#This Row],[Norm (m2/uur) werkdagen]],0)</f>
        <v>0</v>
      </c>
      <c r="X837" s="243">
        <f>Ruimtestaat[[#This Row],[uren / jaar werkdagen]]*Tariefsopbouw!$D$38</f>
        <v>0</v>
      </c>
      <c r="Y837" s="33"/>
      <c r="Z837" s="33">
        <f>IF(Ruimtestaat[[#This Row],[Frequentie weekend]]&gt;0,VALUE(LEFT(Y837,1))*R837,0)</f>
        <v>0</v>
      </c>
      <c r="AA837" s="33">
        <f>IF($Z837&gt;0,VLOOKUP($J837,Ruimtegroepen[],3,FALSE)*VLOOKUP($L837,Vloersoorten[],3,FALSE)*VLOOKUP($Y837,Frequenties[],3,FALSE)*VLOOKUP(#REF!,Locaties[],3,FALSE),0)</f>
        <v>0</v>
      </c>
      <c r="AB837" s="33"/>
      <c r="AC837" s="33"/>
      <c r="AD837" s="33">
        <f>Ruimtestaat[[#This Row],[uren / jaar weekend]]*Tariefsopbouw!$D$40</f>
        <v>0</v>
      </c>
      <c r="AE837" s="86">
        <f>Ruimtestaat[[#This Row],[Prest. (m2 /jaar) weekend]]+Ruimtestaat[[#This Row],[Prest. (m2 /jaar) werkdagen]]</f>
        <v>11018.699999999999</v>
      </c>
      <c r="AF837" s="86">
        <f>Ruimtestaat[[#This Row],[uren / jaar weekend]]+Ruimtestaat[[#This Row],[uren / jaar werkdagen]]</f>
        <v>0</v>
      </c>
      <c r="AG837" s="87">
        <f>Ruimtestaat[[#This Row],[kosten / jaar weekend]]+Ruimtestaat[[#This Row],[kosten / jaar werkdagen]]</f>
        <v>0</v>
      </c>
    </row>
    <row r="838" spans="1:33" ht="15" customHeight="1">
      <c r="A838" s="187">
        <v>6</v>
      </c>
      <c r="B838" s="21" t="str">
        <f>VLOOKUP(Ruimtestaat[[#This Row],[Code]],Locaties[#All],2,FALSE)</f>
        <v>De Thij</v>
      </c>
      <c r="C838" s="247" t="str">
        <f>VLOOKUP(Ruimtestaat[[#This Row],[Code]],Locaties[#All],4,FALSE)</f>
        <v>Thijlaan 30</v>
      </c>
      <c r="D838" s="247" t="str">
        <f>VLOOKUP(Ruimtestaat[[#This Row],[Code]],Locaties[#All],5,FALSE)</f>
        <v>7576 ZB</v>
      </c>
      <c r="E838" s="187" t="str">
        <f>VLOOKUP(Ruimtestaat[[#This Row],[Code]],Locaties[#All],6,FALSE)</f>
        <v>Oldenzaal</v>
      </c>
      <c r="F838" s="248"/>
      <c r="G838" s="246">
        <v>2</v>
      </c>
      <c r="H838" s="246" t="s">
        <v>880</v>
      </c>
      <c r="I838" s="248" t="s">
        <v>581</v>
      </c>
      <c r="J838" s="187">
        <v>4</v>
      </c>
      <c r="K838" s="187" t="str">
        <f>VLOOKUP(Ruimtestaat[[#This Row],[Ruimte code]],Ruimtegroepen[#All],2,FALSE)</f>
        <v>Vergader/spreekkamers</v>
      </c>
      <c r="L838" s="247" t="s">
        <v>677</v>
      </c>
      <c r="M838" s="246" t="s">
        <v>270</v>
      </c>
      <c r="N838" s="200">
        <v>12.05</v>
      </c>
      <c r="O838" s="200"/>
      <c r="P838" s="231" t="str">
        <f>VLOOKUP(Ruimtestaat[[#This Row],[Ruimte code]],Ruimtegroepen[#All],4,FALSE)</f>
        <v>B  (Bureauruimte)</v>
      </c>
      <c r="Q838" s="201"/>
      <c r="R838" s="202">
        <v>42</v>
      </c>
      <c r="S838" s="202" t="s">
        <v>2</v>
      </c>
      <c r="T838" s="202">
        <f>IF(R838&gt;0,IF(RIGHT(Ruimtestaat[[#This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38" s="202">
        <f>IF(T838&gt;0,VLOOKUP($J838,Ruimtegroepen[],3,FALSE)*VLOOKUP($L838,Vloersoorten[],3,FALSE)*VLOOKUP($S838,Frequenties[],3,FALSE)*VLOOKUP($A838,Locaties[],3,FALSE),0)</f>
        <v>0</v>
      </c>
      <c r="V838" s="202">
        <f>Ruimtestaat[[#This Row],[Uitvoeringen werkdagen]]*Ruimtestaat[[#This Row],[Oppervlak (netto)]]</f>
        <v>2530.5</v>
      </c>
      <c r="W838" s="242">
        <f>IF(U838&gt;0,Ruimtestaat[[#This Row],[Prest. (m2 /jaar) werkdagen]]/Ruimtestaat[[#This Row],[Norm (m2/uur) werkdagen]],0)</f>
        <v>0</v>
      </c>
      <c r="X838" s="243">
        <f>Ruimtestaat[[#This Row],[uren / jaar werkdagen]]*Tariefsopbouw!$D$38</f>
        <v>0</v>
      </c>
      <c r="Y838" s="33"/>
      <c r="Z838" s="33">
        <f>IF(Ruimtestaat[[#This Row],[Frequentie weekend]]&gt;0,VALUE(LEFT(Y838,1))*R838,0)</f>
        <v>0</v>
      </c>
      <c r="AA838" s="33">
        <f>IF($Z838&gt;0,VLOOKUP($J838,Ruimtegroepen[],3,FALSE)*VLOOKUP($L838,Vloersoorten[],3,FALSE)*VLOOKUP($Y838,Frequenties[],3,FALSE)*VLOOKUP(#REF!,Locaties[],3,FALSE),0)</f>
        <v>0</v>
      </c>
      <c r="AB838" s="33"/>
      <c r="AC838" s="33"/>
      <c r="AD838" s="33">
        <f>Ruimtestaat[[#This Row],[uren / jaar weekend]]*Tariefsopbouw!$D$40</f>
        <v>0</v>
      </c>
      <c r="AE838" s="86">
        <f>Ruimtestaat[[#This Row],[Prest. (m2 /jaar) weekend]]+Ruimtestaat[[#This Row],[Prest. (m2 /jaar) werkdagen]]</f>
        <v>2530.5</v>
      </c>
      <c r="AF838" s="86">
        <f>Ruimtestaat[[#This Row],[uren / jaar weekend]]+Ruimtestaat[[#This Row],[uren / jaar werkdagen]]</f>
        <v>0</v>
      </c>
      <c r="AG838" s="87">
        <f>Ruimtestaat[[#This Row],[kosten / jaar weekend]]+Ruimtestaat[[#This Row],[kosten / jaar werkdagen]]</f>
        <v>0</v>
      </c>
    </row>
    <row r="839" spans="1:33" ht="15" customHeight="1">
      <c r="A839" s="187">
        <v>6</v>
      </c>
      <c r="B839" s="21" t="str">
        <f>VLOOKUP(Ruimtestaat[[#This Row],[Code]],Locaties[#All],2,FALSE)</f>
        <v>De Thij</v>
      </c>
      <c r="C839" s="247" t="str">
        <f>VLOOKUP(Ruimtestaat[[#This Row],[Code]],Locaties[#All],4,FALSE)</f>
        <v>Thijlaan 30</v>
      </c>
      <c r="D839" s="247" t="str">
        <f>VLOOKUP(Ruimtestaat[[#This Row],[Code]],Locaties[#All],5,FALSE)</f>
        <v>7576 ZB</v>
      </c>
      <c r="E839" s="187" t="str">
        <f>VLOOKUP(Ruimtestaat[[#This Row],[Code]],Locaties[#All],6,FALSE)</f>
        <v>Oldenzaal</v>
      </c>
      <c r="F839" s="248"/>
      <c r="G839" s="246">
        <v>2</v>
      </c>
      <c r="H839" s="246" t="s">
        <v>881</v>
      </c>
      <c r="I839" s="248" t="s">
        <v>581</v>
      </c>
      <c r="J839" s="187">
        <v>4</v>
      </c>
      <c r="K839" s="187" t="str">
        <f>VLOOKUP(Ruimtestaat[[#This Row],[Ruimte code]],Ruimtegroepen[#All],2,FALSE)</f>
        <v>Vergader/spreekkamers</v>
      </c>
      <c r="L839" s="247" t="s">
        <v>677</v>
      </c>
      <c r="M839" s="246" t="s">
        <v>270</v>
      </c>
      <c r="N839" s="200">
        <v>12.05</v>
      </c>
      <c r="O839" s="200"/>
      <c r="P839" s="231" t="str">
        <f>VLOOKUP(Ruimtestaat[[#This Row],[Ruimte code]],Ruimtegroepen[#All],4,FALSE)</f>
        <v>B  (Bureauruimte)</v>
      </c>
      <c r="Q839" s="201"/>
      <c r="R839" s="202">
        <v>42</v>
      </c>
      <c r="S839" s="202" t="s">
        <v>2</v>
      </c>
      <c r="T839" s="202">
        <f>IF(R839&gt;0,IF(RIGHT(Ruimtestaat[[#This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39" s="202">
        <f>IF(T839&gt;0,VLOOKUP($J839,Ruimtegroepen[],3,FALSE)*VLOOKUP($L839,Vloersoorten[],3,FALSE)*VLOOKUP($S839,Frequenties[],3,FALSE)*VLOOKUP($A839,Locaties[],3,FALSE),0)</f>
        <v>0</v>
      </c>
      <c r="V839" s="202">
        <f>Ruimtestaat[[#This Row],[Uitvoeringen werkdagen]]*Ruimtestaat[[#This Row],[Oppervlak (netto)]]</f>
        <v>2530.5</v>
      </c>
      <c r="W839" s="242">
        <f>IF(U839&gt;0,Ruimtestaat[[#This Row],[Prest. (m2 /jaar) werkdagen]]/Ruimtestaat[[#This Row],[Norm (m2/uur) werkdagen]],0)</f>
        <v>0</v>
      </c>
      <c r="X839" s="243">
        <f>Ruimtestaat[[#This Row],[uren / jaar werkdagen]]*Tariefsopbouw!$D$38</f>
        <v>0</v>
      </c>
      <c r="Y839" s="33"/>
      <c r="Z839" s="33">
        <f>IF(Ruimtestaat[[#This Row],[Frequentie weekend]]&gt;0,VALUE(LEFT(Y839,1))*R839,0)</f>
        <v>0</v>
      </c>
      <c r="AA839" s="33">
        <f>IF($Z839&gt;0,VLOOKUP($J839,Ruimtegroepen[],3,FALSE)*VLOOKUP($L839,Vloersoorten[],3,FALSE)*VLOOKUP($Y839,Frequenties[],3,FALSE)*VLOOKUP(#REF!,Locaties[],3,FALSE),0)</f>
        <v>0</v>
      </c>
      <c r="AB839" s="33"/>
      <c r="AC839" s="33"/>
      <c r="AD839" s="33">
        <f>Ruimtestaat[[#This Row],[uren / jaar weekend]]*Tariefsopbouw!$D$40</f>
        <v>0</v>
      </c>
      <c r="AE839" s="86">
        <f>Ruimtestaat[[#This Row],[Prest. (m2 /jaar) weekend]]+Ruimtestaat[[#This Row],[Prest. (m2 /jaar) werkdagen]]</f>
        <v>2530.5</v>
      </c>
      <c r="AF839" s="86">
        <f>Ruimtestaat[[#This Row],[uren / jaar weekend]]+Ruimtestaat[[#This Row],[uren / jaar werkdagen]]</f>
        <v>0</v>
      </c>
      <c r="AG839" s="87">
        <f>Ruimtestaat[[#This Row],[kosten / jaar weekend]]+Ruimtestaat[[#This Row],[kosten / jaar werkdagen]]</f>
        <v>0</v>
      </c>
    </row>
    <row r="840" spans="1:33" ht="15" customHeight="1">
      <c r="A840" s="187">
        <v>6</v>
      </c>
      <c r="B840" s="21" t="str">
        <f>VLOOKUP(Ruimtestaat[[#This Row],[Code]],Locaties[#All],2,FALSE)</f>
        <v>De Thij</v>
      </c>
      <c r="C840" s="247" t="str">
        <f>VLOOKUP(Ruimtestaat[[#This Row],[Code]],Locaties[#All],4,FALSE)</f>
        <v>Thijlaan 30</v>
      </c>
      <c r="D840" s="247" t="str">
        <f>VLOOKUP(Ruimtestaat[[#This Row],[Code]],Locaties[#All],5,FALSE)</f>
        <v>7576 ZB</v>
      </c>
      <c r="E840" s="187" t="str">
        <f>VLOOKUP(Ruimtestaat[[#This Row],[Code]],Locaties[#All],6,FALSE)</f>
        <v>Oldenzaal</v>
      </c>
      <c r="F840" s="248"/>
      <c r="G840" s="246">
        <v>2</v>
      </c>
      <c r="H840" s="246" t="s">
        <v>882</v>
      </c>
      <c r="I840" s="248" t="s">
        <v>883</v>
      </c>
      <c r="J840" s="187">
        <v>2</v>
      </c>
      <c r="K840" s="187" t="str">
        <f>VLOOKUP(Ruimtestaat[[#This Row],[Ruimte code]],Ruimtegroepen[#All],2,FALSE)</f>
        <v>Kantoren/kantoortuin</v>
      </c>
      <c r="L840" s="247" t="s">
        <v>677</v>
      </c>
      <c r="M840" s="246" t="s">
        <v>270</v>
      </c>
      <c r="N840" s="200">
        <v>36.11</v>
      </c>
      <c r="O840" s="200"/>
      <c r="P840" s="231" t="str">
        <f>VLOOKUP(Ruimtestaat[[#This Row],[Ruimte code]],Ruimtegroepen[#All],4,FALSE)</f>
        <v>B  (Bureauruimte)</v>
      </c>
      <c r="Q840" s="201"/>
      <c r="R840" s="202">
        <v>42</v>
      </c>
      <c r="S840" s="202" t="s">
        <v>2</v>
      </c>
      <c r="T840" s="202">
        <f>IF(R840&gt;0,IF(RIGHT(Ruimtestaat[[#This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40" s="202">
        <f>IF(T840&gt;0,VLOOKUP($J840,Ruimtegroepen[],3,FALSE)*VLOOKUP($L840,Vloersoorten[],3,FALSE)*VLOOKUP($S840,Frequenties[],3,FALSE)*VLOOKUP($A840,Locaties[],3,FALSE),0)</f>
        <v>0</v>
      </c>
      <c r="V840" s="202">
        <f>Ruimtestaat[[#This Row],[Uitvoeringen werkdagen]]*Ruimtestaat[[#This Row],[Oppervlak (netto)]]</f>
        <v>7583.0999999999995</v>
      </c>
      <c r="W840" s="242">
        <f>IF(U840&gt;0,Ruimtestaat[[#This Row],[Prest. (m2 /jaar) werkdagen]]/Ruimtestaat[[#This Row],[Norm (m2/uur) werkdagen]],0)</f>
        <v>0</v>
      </c>
      <c r="X840" s="243">
        <f>Ruimtestaat[[#This Row],[uren / jaar werkdagen]]*Tariefsopbouw!$D$38</f>
        <v>0</v>
      </c>
      <c r="Y840" s="33"/>
      <c r="Z840" s="33">
        <f>IF(Ruimtestaat[[#This Row],[Frequentie weekend]]&gt;0,VALUE(LEFT(Y840,1))*R840,0)</f>
        <v>0</v>
      </c>
      <c r="AA840" s="33">
        <f>IF($Z840&gt;0,VLOOKUP($J840,Ruimtegroepen[],3,FALSE)*VLOOKUP($L840,Vloersoorten[],3,FALSE)*VLOOKUP($Y840,Frequenties[],3,FALSE)*VLOOKUP(#REF!,Locaties[],3,FALSE),0)</f>
        <v>0</v>
      </c>
      <c r="AB840" s="33"/>
      <c r="AC840" s="33"/>
      <c r="AD840" s="33">
        <f>Ruimtestaat[[#This Row],[uren / jaar weekend]]*Tariefsopbouw!$D$40</f>
        <v>0</v>
      </c>
      <c r="AE840" s="86">
        <f>Ruimtestaat[[#This Row],[Prest. (m2 /jaar) weekend]]+Ruimtestaat[[#This Row],[Prest. (m2 /jaar) werkdagen]]</f>
        <v>7583.0999999999995</v>
      </c>
      <c r="AF840" s="86">
        <f>Ruimtestaat[[#This Row],[uren / jaar weekend]]+Ruimtestaat[[#This Row],[uren / jaar werkdagen]]</f>
        <v>0</v>
      </c>
      <c r="AG840" s="87">
        <f>Ruimtestaat[[#This Row],[kosten / jaar weekend]]+Ruimtestaat[[#This Row],[kosten / jaar werkdagen]]</f>
        <v>0</v>
      </c>
    </row>
    <row r="841" spans="1:33" ht="15" customHeight="1">
      <c r="A841" s="187">
        <v>6</v>
      </c>
      <c r="B841" s="21" t="str">
        <f>VLOOKUP(Ruimtestaat[[#This Row],[Code]],Locaties[#All],2,FALSE)</f>
        <v>De Thij</v>
      </c>
      <c r="C841" s="247" t="str">
        <f>VLOOKUP(Ruimtestaat[[#This Row],[Code]],Locaties[#All],4,FALSE)</f>
        <v>Thijlaan 30</v>
      </c>
      <c r="D841" s="247" t="str">
        <f>VLOOKUP(Ruimtestaat[[#This Row],[Code]],Locaties[#All],5,FALSE)</f>
        <v>7576 ZB</v>
      </c>
      <c r="E841" s="187" t="str">
        <f>VLOOKUP(Ruimtestaat[[#This Row],[Code]],Locaties[#All],6,FALSE)</f>
        <v>Oldenzaal</v>
      </c>
      <c r="F841" s="248"/>
      <c r="G841" s="246">
        <v>2</v>
      </c>
      <c r="H841" s="246" t="s">
        <v>884</v>
      </c>
      <c r="I841" s="248" t="s">
        <v>632</v>
      </c>
      <c r="J841" s="187">
        <v>2</v>
      </c>
      <c r="K841" s="187" t="str">
        <f>VLOOKUP(Ruimtestaat[[#This Row],[Ruimte code]],Ruimtegroepen[#All],2,FALSE)</f>
        <v>Kantoren/kantoortuin</v>
      </c>
      <c r="L841" s="247" t="s">
        <v>677</v>
      </c>
      <c r="M841" s="246" t="s">
        <v>270</v>
      </c>
      <c r="N841" s="200">
        <v>10.88</v>
      </c>
      <c r="O841" s="200"/>
      <c r="P841" s="231" t="str">
        <f>VLOOKUP(Ruimtestaat[[#This Row],[Ruimte code]],Ruimtegroepen[#All],4,FALSE)</f>
        <v>B  (Bureauruimte)</v>
      </c>
      <c r="Q841" s="201"/>
      <c r="R841" s="202">
        <v>42</v>
      </c>
      <c r="S841" s="202" t="s">
        <v>15</v>
      </c>
      <c r="T841" s="202">
        <f>IF(R841&gt;0,IF(RIGHT(Ruimtestaat[[#This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841" s="202">
        <f>IF(T841&gt;0,VLOOKUP($J841,Ruimtegroepen[],3,FALSE)*VLOOKUP($L841,Vloersoorten[],3,FALSE)*VLOOKUP($S841,Frequenties[],3,FALSE)*VLOOKUP($A841,Locaties[],3,FALSE),0)</f>
        <v>0</v>
      </c>
      <c r="V841" s="202">
        <f>Ruimtestaat[[#This Row],[Uitvoeringen werkdagen]]*Ruimtestaat[[#This Row],[Oppervlak (netto)]]</f>
        <v>456.96000000000004</v>
      </c>
      <c r="W841" s="242">
        <f>IF(U841&gt;0,Ruimtestaat[[#This Row],[Prest. (m2 /jaar) werkdagen]]/Ruimtestaat[[#This Row],[Norm (m2/uur) werkdagen]],0)</f>
        <v>0</v>
      </c>
      <c r="X841" s="243">
        <f>Ruimtestaat[[#This Row],[uren / jaar werkdagen]]*Tariefsopbouw!$D$38</f>
        <v>0</v>
      </c>
      <c r="Y841" s="33"/>
      <c r="Z841" s="33">
        <f>IF(Ruimtestaat[[#This Row],[Frequentie weekend]]&gt;0,VALUE(LEFT(Y841,1))*R841,0)</f>
        <v>0</v>
      </c>
      <c r="AA841" s="33">
        <f>IF($Z841&gt;0,VLOOKUP($J841,Ruimtegroepen[],3,FALSE)*VLOOKUP($L841,Vloersoorten[],3,FALSE)*VLOOKUP($Y841,Frequenties[],3,FALSE)*VLOOKUP(#REF!,Locaties[],3,FALSE),0)</f>
        <v>0</v>
      </c>
      <c r="AB841" s="33"/>
      <c r="AC841" s="33"/>
      <c r="AD841" s="33">
        <f>Ruimtestaat[[#This Row],[uren / jaar weekend]]*Tariefsopbouw!$D$40</f>
        <v>0</v>
      </c>
      <c r="AE841" s="86">
        <f>Ruimtestaat[[#This Row],[Prest. (m2 /jaar) weekend]]+Ruimtestaat[[#This Row],[Prest. (m2 /jaar) werkdagen]]</f>
        <v>456.96000000000004</v>
      </c>
      <c r="AF841" s="86">
        <f>Ruimtestaat[[#This Row],[uren / jaar weekend]]+Ruimtestaat[[#This Row],[uren / jaar werkdagen]]</f>
        <v>0</v>
      </c>
      <c r="AG841" s="87">
        <f>Ruimtestaat[[#This Row],[kosten / jaar weekend]]+Ruimtestaat[[#This Row],[kosten / jaar werkdagen]]</f>
        <v>0</v>
      </c>
    </row>
    <row r="842" spans="1:33" ht="15" customHeight="1">
      <c r="A842" s="187">
        <v>6</v>
      </c>
      <c r="B842" s="21" t="str">
        <f>VLOOKUP(Ruimtestaat[[#This Row],[Code]],Locaties[#All],2,FALSE)</f>
        <v>De Thij</v>
      </c>
      <c r="C842" s="247" t="str">
        <f>VLOOKUP(Ruimtestaat[[#This Row],[Code]],Locaties[#All],4,FALSE)</f>
        <v>Thijlaan 30</v>
      </c>
      <c r="D842" s="247" t="str">
        <f>VLOOKUP(Ruimtestaat[[#This Row],[Code]],Locaties[#All],5,FALSE)</f>
        <v>7576 ZB</v>
      </c>
      <c r="E842" s="187" t="str">
        <f>VLOOKUP(Ruimtestaat[[#This Row],[Code]],Locaties[#All],6,FALSE)</f>
        <v>Oldenzaal</v>
      </c>
      <c r="F842" s="248"/>
      <c r="G842" s="246">
        <v>2</v>
      </c>
      <c r="H842" s="246" t="s">
        <v>885</v>
      </c>
      <c r="I842" s="248" t="s">
        <v>661</v>
      </c>
      <c r="J842" s="247">
        <v>20</v>
      </c>
      <c r="K842" s="247" t="str">
        <f>VLOOKUP(Ruimtestaat[[#This Row],[Ruimte code]],Ruimtegroepen[#All],2,FALSE)</f>
        <v>Niet in onderhoud</v>
      </c>
      <c r="L842" s="247" t="s">
        <v>677</v>
      </c>
      <c r="M842" s="246" t="s">
        <v>270</v>
      </c>
      <c r="N842" s="200"/>
      <c r="O842" s="200"/>
      <c r="P842" s="231" t="str">
        <f>VLOOKUP(Ruimtestaat[[#This Row],[Ruimte code]],Ruimtegroepen[#All],4,FALSE)</f>
        <v>V  (Verkeersruimte)</v>
      </c>
      <c r="Q842" s="201"/>
      <c r="R842" s="202"/>
      <c r="S842" s="202"/>
      <c r="T842" s="202">
        <f>IF(R842&gt;0,IF(RIGHT(Ruimtestaat[[#This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842" s="202">
        <f>IF(T842&gt;0,VLOOKUP($J842,Ruimtegroepen[],3,FALSE)*VLOOKUP($L842,Vloersoorten[],3,FALSE)*VLOOKUP($S842,Frequenties[],3,FALSE)*VLOOKUP($A842,Locaties[],3,FALSE),0)</f>
        <v>0</v>
      </c>
      <c r="V842" s="202">
        <f>Ruimtestaat[[#This Row],[Uitvoeringen werkdagen]]*Ruimtestaat[[#This Row],[Oppervlak (netto)]]</f>
        <v>0</v>
      </c>
      <c r="W842" s="242">
        <f>IF(U842&gt;0,Ruimtestaat[[#This Row],[Prest. (m2 /jaar) werkdagen]]/Ruimtestaat[[#This Row],[Norm (m2/uur) werkdagen]],0)</f>
        <v>0</v>
      </c>
      <c r="X842" s="243">
        <f>Ruimtestaat[[#This Row],[uren / jaar werkdagen]]*Tariefsopbouw!$D$38</f>
        <v>0</v>
      </c>
      <c r="Y842" s="33"/>
      <c r="Z842" s="33">
        <f>IF(Ruimtestaat[[#This Row],[Frequentie weekend]]&gt;0,VALUE(LEFT(Y842,1))*R842,0)</f>
        <v>0</v>
      </c>
      <c r="AA842" s="33">
        <f>IF($Z842&gt;0,VLOOKUP($J842,Ruimtegroepen[],3,FALSE)*VLOOKUP($L842,Vloersoorten[],3,FALSE)*VLOOKUP($Y842,Frequenties[],3,FALSE)*VLOOKUP(#REF!,Locaties[],3,FALSE),0)</f>
        <v>0</v>
      </c>
      <c r="AB842" s="33"/>
      <c r="AC842" s="33"/>
      <c r="AD842" s="33">
        <f>Ruimtestaat[[#This Row],[uren / jaar weekend]]*Tariefsopbouw!$D$40</f>
        <v>0</v>
      </c>
      <c r="AE842" s="86">
        <f>Ruimtestaat[[#This Row],[Prest. (m2 /jaar) weekend]]+Ruimtestaat[[#This Row],[Prest. (m2 /jaar) werkdagen]]</f>
        <v>0</v>
      </c>
      <c r="AF842" s="86">
        <f>Ruimtestaat[[#This Row],[uren / jaar weekend]]+Ruimtestaat[[#This Row],[uren / jaar werkdagen]]</f>
        <v>0</v>
      </c>
      <c r="AG842" s="87">
        <f>Ruimtestaat[[#This Row],[kosten / jaar weekend]]+Ruimtestaat[[#This Row],[kosten / jaar werkdagen]]</f>
        <v>0</v>
      </c>
    </row>
    <row r="843" spans="1:33" ht="15" customHeight="1">
      <c r="A843" s="187">
        <v>6</v>
      </c>
      <c r="B843" s="21" t="str">
        <f>VLOOKUP(Ruimtestaat[[#This Row],[Code]],Locaties[#All],2,FALSE)</f>
        <v>De Thij</v>
      </c>
      <c r="C843" s="247" t="str">
        <f>VLOOKUP(Ruimtestaat[[#This Row],[Code]],Locaties[#All],4,FALSE)</f>
        <v>Thijlaan 30</v>
      </c>
      <c r="D843" s="247" t="str">
        <f>VLOOKUP(Ruimtestaat[[#This Row],[Code]],Locaties[#All],5,FALSE)</f>
        <v>7576 ZB</v>
      </c>
      <c r="E843" s="187" t="str">
        <f>VLOOKUP(Ruimtestaat[[#This Row],[Code]],Locaties[#All],6,FALSE)</f>
        <v>Oldenzaal</v>
      </c>
      <c r="F843" s="248"/>
      <c r="G843" s="246">
        <v>2</v>
      </c>
      <c r="H843" s="246" t="s">
        <v>886</v>
      </c>
      <c r="I843" s="248" t="s">
        <v>660</v>
      </c>
      <c r="J843" s="247">
        <v>20</v>
      </c>
      <c r="K843" s="247" t="str">
        <f>VLOOKUP(Ruimtestaat[[#This Row],[Ruimte code]],Ruimtegroepen[#All],2,FALSE)</f>
        <v>Niet in onderhoud</v>
      </c>
      <c r="L843" s="247" t="s">
        <v>677</v>
      </c>
      <c r="M843" s="246" t="s">
        <v>270</v>
      </c>
      <c r="N843" s="200"/>
      <c r="O843" s="200"/>
      <c r="P843" s="231" t="str">
        <f>VLOOKUP(Ruimtestaat[[#This Row],[Ruimte code]],Ruimtegroepen[#All],4,FALSE)</f>
        <v>V  (Verkeersruimte)</v>
      </c>
      <c r="Q843" s="201"/>
      <c r="R843" s="202"/>
      <c r="S843" s="202"/>
      <c r="T843" s="202">
        <f>IF(R843&gt;0,IF(RIGHT(Ruimtestaat[[#This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843" s="202">
        <f>IF(T843&gt;0,VLOOKUP($J843,Ruimtegroepen[],3,FALSE)*VLOOKUP($L843,Vloersoorten[],3,FALSE)*VLOOKUP($S843,Frequenties[],3,FALSE)*VLOOKUP($A843,Locaties[],3,FALSE),0)</f>
        <v>0</v>
      </c>
      <c r="V843" s="202">
        <f>Ruimtestaat[[#This Row],[Uitvoeringen werkdagen]]*Ruimtestaat[[#This Row],[Oppervlak (netto)]]</f>
        <v>0</v>
      </c>
      <c r="W843" s="242">
        <f>IF(U843&gt;0,Ruimtestaat[[#This Row],[Prest. (m2 /jaar) werkdagen]]/Ruimtestaat[[#This Row],[Norm (m2/uur) werkdagen]],0)</f>
        <v>0</v>
      </c>
      <c r="X843" s="243">
        <f>Ruimtestaat[[#This Row],[uren / jaar werkdagen]]*Tariefsopbouw!$D$38</f>
        <v>0</v>
      </c>
      <c r="Y843" s="33"/>
      <c r="Z843" s="33">
        <f>IF(Ruimtestaat[[#This Row],[Frequentie weekend]]&gt;0,VALUE(LEFT(Y843,1))*R843,0)</f>
        <v>0</v>
      </c>
      <c r="AA843" s="33">
        <f>IF($Z843&gt;0,VLOOKUP($J843,Ruimtegroepen[],3,FALSE)*VLOOKUP($L843,Vloersoorten[],3,FALSE)*VLOOKUP($Y843,Frequenties[],3,FALSE)*VLOOKUP(#REF!,Locaties[],3,FALSE),0)</f>
        <v>0</v>
      </c>
      <c r="AB843" s="33"/>
      <c r="AC843" s="33"/>
      <c r="AD843" s="33">
        <f>Ruimtestaat[[#This Row],[uren / jaar weekend]]*Tariefsopbouw!$D$40</f>
        <v>0</v>
      </c>
      <c r="AE843" s="86">
        <f>Ruimtestaat[[#This Row],[Prest. (m2 /jaar) weekend]]+Ruimtestaat[[#This Row],[Prest. (m2 /jaar) werkdagen]]</f>
        <v>0</v>
      </c>
      <c r="AF843" s="86">
        <f>Ruimtestaat[[#This Row],[uren / jaar weekend]]+Ruimtestaat[[#This Row],[uren / jaar werkdagen]]</f>
        <v>0</v>
      </c>
      <c r="AG843" s="87">
        <f>Ruimtestaat[[#This Row],[kosten / jaar weekend]]+Ruimtestaat[[#This Row],[kosten / jaar werkdagen]]</f>
        <v>0</v>
      </c>
    </row>
    <row r="844" spans="1:33" ht="15" customHeight="1">
      <c r="A844" s="187">
        <v>6</v>
      </c>
      <c r="B844" s="21" t="str">
        <f>VLOOKUP(Ruimtestaat[[#This Row],[Code]],Locaties[#All],2,FALSE)</f>
        <v>De Thij</v>
      </c>
      <c r="C844" s="247" t="str">
        <f>VLOOKUP(Ruimtestaat[[#This Row],[Code]],Locaties[#All],4,FALSE)</f>
        <v>Thijlaan 30</v>
      </c>
      <c r="D844" s="247" t="str">
        <f>VLOOKUP(Ruimtestaat[[#This Row],[Code]],Locaties[#All],5,FALSE)</f>
        <v>7576 ZB</v>
      </c>
      <c r="E844" s="187" t="str">
        <f>VLOOKUP(Ruimtestaat[[#This Row],[Code]],Locaties[#All],6,FALSE)</f>
        <v>Oldenzaal</v>
      </c>
      <c r="F844" s="248"/>
      <c r="G844" s="246">
        <v>2</v>
      </c>
      <c r="H844" s="246" t="s">
        <v>887</v>
      </c>
      <c r="I844" s="248" t="s">
        <v>662</v>
      </c>
      <c r="J844" s="247">
        <v>2</v>
      </c>
      <c r="K844" s="247" t="str">
        <f>VLOOKUP(Ruimtestaat[[#This Row],[Ruimte code]],Ruimtegroepen[#All],2,FALSE)</f>
        <v>Kantoren/kantoortuin</v>
      </c>
      <c r="L844" s="247" t="s">
        <v>677</v>
      </c>
      <c r="M844" s="246" t="s">
        <v>270</v>
      </c>
      <c r="N844" s="200">
        <v>61.5</v>
      </c>
      <c r="O844" s="200"/>
      <c r="P844" s="231" t="str">
        <f>VLOOKUP(Ruimtestaat[[#This Row],[Ruimte code]],Ruimtegroepen[#All],4,FALSE)</f>
        <v>B  (Bureauruimte)</v>
      </c>
      <c r="Q844" s="201"/>
      <c r="R844" s="202">
        <v>42</v>
      </c>
      <c r="S844" s="202" t="s">
        <v>2</v>
      </c>
      <c r="T844" s="202">
        <f>IF(R844&gt;0,IF(RIGHT(Ruimtestaat[[#This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44" s="202">
        <f>IF(T844&gt;0,VLOOKUP($J844,Ruimtegroepen[],3,FALSE)*VLOOKUP($L844,Vloersoorten[],3,FALSE)*VLOOKUP($S844,Frequenties[],3,FALSE)*VLOOKUP($A844,Locaties[],3,FALSE),0)</f>
        <v>0</v>
      </c>
      <c r="V844" s="202">
        <f>Ruimtestaat[[#This Row],[Uitvoeringen werkdagen]]*Ruimtestaat[[#This Row],[Oppervlak (netto)]]</f>
        <v>12915</v>
      </c>
      <c r="W844" s="242">
        <f>IF(U844&gt;0,Ruimtestaat[[#This Row],[Prest. (m2 /jaar) werkdagen]]/Ruimtestaat[[#This Row],[Norm (m2/uur) werkdagen]],0)</f>
        <v>0</v>
      </c>
      <c r="X844" s="243">
        <f>Ruimtestaat[[#This Row],[uren / jaar werkdagen]]*Tariefsopbouw!$D$38</f>
        <v>0</v>
      </c>
      <c r="Y844" s="33"/>
      <c r="Z844" s="33">
        <f>IF(Ruimtestaat[[#This Row],[Frequentie weekend]]&gt;0,VALUE(LEFT(Y844,1))*R844,0)</f>
        <v>0</v>
      </c>
      <c r="AA844" s="33">
        <f>IF($Z844&gt;0,VLOOKUP($J844,Ruimtegroepen[],3,FALSE)*VLOOKUP($L844,Vloersoorten[],3,FALSE)*VLOOKUP($Y844,Frequenties[],3,FALSE)*VLOOKUP(#REF!,Locaties[],3,FALSE),0)</f>
        <v>0</v>
      </c>
      <c r="AB844" s="33"/>
      <c r="AC844" s="33"/>
      <c r="AD844" s="33">
        <f>Ruimtestaat[[#This Row],[uren / jaar weekend]]*Tariefsopbouw!$D$40</f>
        <v>0</v>
      </c>
      <c r="AE844" s="86">
        <f>Ruimtestaat[[#This Row],[Prest. (m2 /jaar) weekend]]+Ruimtestaat[[#This Row],[Prest. (m2 /jaar) werkdagen]]</f>
        <v>12915</v>
      </c>
      <c r="AF844" s="86">
        <f>Ruimtestaat[[#This Row],[uren / jaar weekend]]+Ruimtestaat[[#This Row],[uren / jaar werkdagen]]</f>
        <v>0</v>
      </c>
      <c r="AG844" s="87">
        <f>Ruimtestaat[[#This Row],[kosten / jaar weekend]]+Ruimtestaat[[#This Row],[kosten / jaar werkdagen]]</f>
        <v>0</v>
      </c>
    </row>
    <row r="845" spans="1:33" ht="15" customHeight="1">
      <c r="A845" s="187">
        <v>6</v>
      </c>
      <c r="B845" s="21" t="str">
        <f>VLOOKUP(Ruimtestaat[[#This Row],[Code]],Locaties[#All],2,FALSE)</f>
        <v>De Thij</v>
      </c>
      <c r="C845" s="247" t="str">
        <f>VLOOKUP(Ruimtestaat[[#This Row],[Code]],Locaties[#All],4,FALSE)</f>
        <v>Thijlaan 30</v>
      </c>
      <c r="D845" s="247" t="str">
        <f>VLOOKUP(Ruimtestaat[[#This Row],[Code]],Locaties[#All],5,FALSE)</f>
        <v>7576 ZB</v>
      </c>
      <c r="E845" s="187" t="str">
        <f>VLOOKUP(Ruimtestaat[[#This Row],[Code]],Locaties[#All],6,FALSE)</f>
        <v>Oldenzaal</v>
      </c>
      <c r="F845" s="248"/>
      <c r="G845" s="246">
        <v>2</v>
      </c>
      <c r="H845" s="246" t="s">
        <v>888</v>
      </c>
      <c r="I845" s="248" t="s">
        <v>889</v>
      </c>
      <c r="J845" s="247">
        <v>2</v>
      </c>
      <c r="K845" s="247" t="str">
        <f>VLOOKUP(Ruimtestaat[[#This Row],[Ruimte code]],Ruimtegroepen[#All],2,FALSE)</f>
        <v>Kantoren/kantoortuin</v>
      </c>
      <c r="L845" s="247" t="s">
        <v>677</v>
      </c>
      <c r="M845" s="246" t="s">
        <v>270</v>
      </c>
      <c r="N845" s="200">
        <v>23.36</v>
      </c>
      <c r="O845" s="200"/>
      <c r="P845" s="231" t="str">
        <f>VLOOKUP(Ruimtestaat[[#This Row],[Ruimte code]],Ruimtegroepen[#All],4,FALSE)</f>
        <v>B  (Bureauruimte)</v>
      </c>
      <c r="Q845" s="201"/>
      <c r="R845" s="202">
        <v>42</v>
      </c>
      <c r="S845" s="202" t="s">
        <v>2</v>
      </c>
      <c r="T845" s="202">
        <f>IF(R845&gt;0,IF(RIGHT(Ruimtestaat[[#This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45" s="202">
        <f>IF(T845&gt;0,VLOOKUP($J845,Ruimtegroepen[],3,FALSE)*VLOOKUP($L845,Vloersoorten[],3,FALSE)*VLOOKUP($S845,Frequenties[],3,FALSE)*VLOOKUP($A845,Locaties[],3,FALSE),0)</f>
        <v>0</v>
      </c>
      <c r="V845" s="202">
        <f>Ruimtestaat[[#This Row],[Uitvoeringen werkdagen]]*Ruimtestaat[[#This Row],[Oppervlak (netto)]]</f>
        <v>4905.5999999999995</v>
      </c>
      <c r="W845" s="242">
        <f>IF(U845&gt;0,Ruimtestaat[[#This Row],[Prest. (m2 /jaar) werkdagen]]/Ruimtestaat[[#This Row],[Norm (m2/uur) werkdagen]],0)</f>
        <v>0</v>
      </c>
      <c r="X845" s="243">
        <f>Ruimtestaat[[#This Row],[uren / jaar werkdagen]]*Tariefsopbouw!$D$38</f>
        <v>0</v>
      </c>
      <c r="Y845" s="33"/>
      <c r="Z845" s="33">
        <f>IF(Ruimtestaat[[#This Row],[Frequentie weekend]]&gt;0,VALUE(LEFT(Y845,1))*R845,0)</f>
        <v>0</v>
      </c>
      <c r="AA845" s="33">
        <f>IF($Z845&gt;0,VLOOKUP($J845,Ruimtegroepen[],3,FALSE)*VLOOKUP($L845,Vloersoorten[],3,FALSE)*VLOOKUP($Y845,Frequenties[],3,FALSE)*VLOOKUP(#REF!,Locaties[],3,FALSE),0)</f>
        <v>0</v>
      </c>
      <c r="AB845" s="33"/>
      <c r="AC845" s="33"/>
      <c r="AD845" s="33">
        <f>Ruimtestaat[[#This Row],[uren / jaar weekend]]*Tariefsopbouw!$D$40</f>
        <v>0</v>
      </c>
      <c r="AE845" s="86">
        <f>Ruimtestaat[[#This Row],[Prest. (m2 /jaar) weekend]]+Ruimtestaat[[#This Row],[Prest. (m2 /jaar) werkdagen]]</f>
        <v>4905.5999999999995</v>
      </c>
      <c r="AF845" s="86">
        <f>Ruimtestaat[[#This Row],[uren / jaar weekend]]+Ruimtestaat[[#This Row],[uren / jaar werkdagen]]</f>
        <v>0</v>
      </c>
      <c r="AG845" s="87">
        <f>Ruimtestaat[[#This Row],[kosten / jaar weekend]]+Ruimtestaat[[#This Row],[kosten / jaar werkdagen]]</f>
        <v>0</v>
      </c>
    </row>
    <row r="846" spans="1:33" ht="15" customHeight="1">
      <c r="A846" s="187">
        <v>6</v>
      </c>
      <c r="B846" s="21" t="str">
        <f>VLOOKUP(Ruimtestaat[[#This Row],[Code]],Locaties[#All],2,FALSE)</f>
        <v>De Thij</v>
      </c>
      <c r="C846" s="247" t="str">
        <f>VLOOKUP(Ruimtestaat[[#This Row],[Code]],Locaties[#All],4,FALSE)</f>
        <v>Thijlaan 30</v>
      </c>
      <c r="D846" s="247" t="str">
        <f>VLOOKUP(Ruimtestaat[[#This Row],[Code]],Locaties[#All],5,FALSE)</f>
        <v>7576 ZB</v>
      </c>
      <c r="E846" s="187" t="str">
        <f>VLOOKUP(Ruimtestaat[[#This Row],[Code]],Locaties[#All],6,FALSE)</f>
        <v>Oldenzaal</v>
      </c>
      <c r="F846" s="248"/>
      <c r="G846" s="246">
        <v>2</v>
      </c>
      <c r="H846" s="246" t="s">
        <v>890</v>
      </c>
      <c r="I846" s="248" t="s">
        <v>889</v>
      </c>
      <c r="J846" s="247">
        <v>2</v>
      </c>
      <c r="K846" s="247" t="str">
        <f>VLOOKUP(Ruimtestaat[[#This Row],[Ruimte code]],Ruimtegroepen[#All],2,FALSE)</f>
        <v>Kantoren/kantoortuin</v>
      </c>
      <c r="L846" s="247" t="s">
        <v>677</v>
      </c>
      <c r="M846" s="246" t="s">
        <v>270</v>
      </c>
      <c r="N846" s="200">
        <v>24.82</v>
      </c>
      <c r="O846" s="200"/>
      <c r="P846" s="231" t="str">
        <f>VLOOKUP(Ruimtestaat[[#This Row],[Ruimte code]],Ruimtegroepen[#All],4,FALSE)</f>
        <v>B  (Bureauruimte)</v>
      </c>
      <c r="Q846" s="201"/>
      <c r="R846" s="202">
        <v>42</v>
      </c>
      <c r="S846" s="202" t="s">
        <v>2</v>
      </c>
      <c r="T846" s="202">
        <f>IF(R846&gt;0,IF(RIGHT(Ruimtestaat[[#This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46" s="202">
        <f>IF(T846&gt;0,VLOOKUP($J846,Ruimtegroepen[],3,FALSE)*VLOOKUP($L846,Vloersoorten[],3,FALSE)*VLOOKUP($S846,Frequenties[],3,FALSE)*VLOOKUP($A846,Locaties[],3,FALSE),0)</f>
        <v>0</v>
      </c>
      <c r="V846" s="202">
        <f>Ruimtestaat[[#This Row],[Uitvoeringen werkdagen]]*Ruimtestaat[[#This Row],[Oppervlak (netto)]]</f>
        <v>5212.2</v>
      </c>
      <c r="W846" s="242">
        <f>IF(U846&gt;0,Ruimtestaat[[#This Row],[Prest. (m2 /jaar) werkdagen]]/Ruimtestaat[[#This Row],[Norm (m2/uur) werkdagen]],0)</f>
        <v>0</v>
      </c>
      <c r="X846" s="243">
        <f>Ruimtestaat[[#This Row],[uren / jaar werkdagen]]*Tariefsopbouw!$D$38</f>
        <v>0</v>
      </c>
      <c r="Y846" s="33"/>
      <c r="Z846" s="33">
        <f>IF(Ruimtestaat[[#This Row],[Frequentie weekend]]&gt;0,VALUE(LEFT(Y846,1))*R846,0)</f>
        <v>0</v>
      </c>
      <c r="AA846" s="33">
        <f>IF($Z846&gt;0,VLOOKUP($J846,Ruimtegroepen[],3,FALSE)*VLOOKUP($L846,Vloersoorten[],3,FALSE)*VLOOKUP($Y846,Frequenties[],3,FALSE)*VLOOKUP(#REF!,Locaties[],3,FALSE),0)</f>
        <v>0</v>
      </c>
      <c r="AB846" s="33"/>
      <c r="AC846" s="33"/>
      <c r="AD846" s="33">
        <f>Ruimtestaat[[#This Row],[uren / jaar weekend]]*Tariefsopbouw!$D$40</f>
        <v>0</v>
      </c>
      <c r="AE846" s="86">
        <f>Ruimtestaat[[#This Row],[Prest. (m2 /jaar) weekend]]+Ruimtestaat[[#This Row],[Prest. (m2 /jaar) werkdagen]]</f>
        <v>5212.2</v>
      </c>
      <c r="AF846" s="86">
        <f>Ruimtestaat[[#This Row],[uren / jaar weekend]]+Ruimtestaat[[#This Row],[uren / jaar werkdagen]]</f>
        <v>0</v>
      </c>
      <c r="AG846" s="87">
        <f>Ruimtestaat[[#This Row],[kosten / jaar weekend]]+Ruimtestaat[[#This Row],[kosten / jaar werkdagen]]</f>
        <v>0</v>
      </c>
    </row>
    <row r="847" spans="1:33" ht="15" customHeight="1">
      <c r="A847" s="187">
        <v>6</v>
      </c>
      <c r="B847" s="21" t="str">
        <f>VLOOKUP(Ruimtestaat[[#This Row],[Code]],Locaties[#All],2,FALSE)</f>
        <v>De Thij</v>
      </c>
      <c r="C847" s="247" t="str">
        <f>VLOOKUP(Ruimtestaat[[#This Row],[Code]],Locaties[#All],4,FALSE)</f>
        <v>Thijlaan 30</v>
      </c>
      <c r="D847" s="247" t="str">
        <f>VLOOKUP(Ruimtestaat[[#This Row],[Code]],Locaties[#All],5,FALSE)</f>
        <v>7576 ZB</v>
      </c>
      <c r="E847" s="187" t="str">
        <f>VLOOKUP(Ruimtestaat[[#This Row],[Code]],Locaties[#All],6,FALSE)</f>
        <v>Oldenzaal</v>
      </c>
      <c r="F847" s="248"/>
      <c r="G847" s="246">
        <v>2</v>
      </c>
      <c r="H847" s="246" t="s">
        <v>891</v>
      </c>
      <c r="I847" s="248" t="s">
        <v>537</v>
      </c>
      <c r="J847" s="247">
        <v>2</v>
      </c>
      <c r="K847" s="247" t="str">
        <f>VLOOKUP(Ruimtestaat[[#This Row],[Ruimte code]],Ruimtegroepen[#All],2,FALSE)</f>
        <v>Kantoren/kantoortuin</v>
      </c>
      <c r="L847" s="247" t="s">
        <v>677</v>
      </c>
      <c r="M847" s="246" t="s">
        <v>270</v>
      </c>
      <c r="N847" s="200">
        <v>24.46</v>
      </c>
      <c r="O847" s="200"/>
      <c r="P847" s="231" t="str">
        <f>VLOOKUP(Ruimtestaat[[#This Row],[Ruimte code]],Ruimtegroepen[#All],4,FALSE)</f>
        <v>B  (Bureauruimte)</v>
      </c>
      <c r="Q847" s="201"/>
      <c r="R847" s="202">
        <v>42</v>
      </c>
      <c r="S847" s="202" t="s">
        <v>2</v>
      </c>
      <c r="T847" s="202">
        <f>IF(R847&gt;0,IF(RIGHT(Ruimtestaat[[#This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47" s="202">
        <f>IF(T847&gt;0,VLOOKUP($J847,Ruimtegroepen[],3,FALSE)*VLOOKUP($L847,Vloersoorten[],3,FALSE)*VLOOKUP($S847,Frequenties[],3,FALSE)*VLOOKUP($A847,Locaties[],3,FALSE),0)</f>
        <v>0</v>
      </c>
      <c r="V847" s="202">
        <f>Ruimtestaat[[#This Row],[Uitvoeringen werkdagen]]*Ruimtestaat[[#This Row],[Oppervlak (netto)]]</f>
        <v>5136.6000000000004</v>
      </c>
      <c r="W847" s="242">
        <f>IF(U847&gt;0,Ruimtestaat[[#This Row],[Prest. (m2 /jaar) werkdagen]]/Ruimtestaat[[#This Row],[Norm (m2/uur) werkdagen]],0)</f>
        <v>0</v>
      </c>
      <c r="X847" s="243">
        <f>Ruimtestaat[[#This Row],[uren / jaar werkdagen]]*Tariefsopbouw!$D$38</f>
        <v>0</v>
      </c>
      <c r="Y847" s="33"/>
      <c r="Z847" s="33">
        <f>IF(Ruimtestaat[[#This Row],[Frequentie weekend]]&gt;0,VALUE(LEFT(Y847,1))*R847,0)</f>
        <v>0</v>
      </c>
      <c r="AA847" s="33">
        <f>IF($Z847&gt;0,VLOOKUP($J847,Ruimtegroepen[],3,FALSE)*VLOOKUP($L847,Vloersoorten[],3,FALSE)*VLOOKUP($Y847,Frequenties[],3,FALSE)*VLOOKUP(#REF!,Locaties[],3,FALSE),0)</f>
        <v>0</v>
      </c>
      <c r="AB847" s="33"/>
      <c r="AC847" s="33"/>
      <c r="AD847" s="33">
        <f>Ruimtestaat[[#This Row],[uren / jaar weekend]]*Tariefsopbouw!$D$40</f>
        <v>0</v>
      </c>
      <c r="AE847" s="86">
        <f>Ruimtestaat[[#This Row],[Prest. (m2 /jaar) weekend]]+Ruimtestaat[[#This Row],[Prest. (m2 /jaar) werkdagen]]</f>
        <v>5136.6000000000004</v>
      </c>
      <c r="AF847" s="86">
        <f>Ruimtestaat[[#This Row],[uren / jaar weekend]]+Ruimtestaat[[#This Row],[uren / jaar werkdagen]]</f>
        <v>0</v>
      </c>
      <c r="AG847" s="87">
        <f>Ruimtestaat[[#This Row],[kosten / jaar weekend]]+Ruimtestaat[[#This Row],[kosten / jaar werkdagen]]</f>
        <v>0</v>
      </c>
    </row>
    <row r="848" spans="1:33" ht="15" customHeight="1">
      <c r="A848" s="187">
        <v>6</v>
      </c>
      <c r="B848" s="21" t="str">
        <f>VLOOKUP(Ruimtestaat[[#This Row],[Code]],Locaties[#All],2,FALSE)</f>
        <v>De Thij</v>
      </c>
      <c r="C848" s="247" t="str">
        <f>VLOOKUP(Ruimtestaat[[#This Row],[Code]],Locaties[#All],4,FALSE)</f>
        <v>Thijlaan 30</v>
      </c>
      <c r="D848" s="247" t="str">
        <f>VLOOKUP(Ruimtestaat[[#This Row],[Code]],Locaties[#All],5,FALSE)</f>
        <v>7576 ZB</v>
      </c>
      <c r="E848" s="187" t="str">
        <f>VLOOKUP(Ruimtestaat[[#This Row],[Code]],Locaties[#All],6,FALSE)</f>
        <v>Oldenzaal</v>
      </c>
      <c r="F848" s="248"/>
      <c r="G848" s="246">
        <v>2</v>
      </c>
      <c r="H848" s="246" t="s">
        <v>892</v>
      </c>
      <c r="I848" s="248" t="s">
        <v>663</v>
      </c>
      <c r="J848" s="247">
        <v>2</v>
      </c>
      <c r="K848" s="247" t="str">
        <f>VLOOKUP(Ruimtestaat[[#This Row],[Ruimte code]],Ruimtegroepen[#All],2,FALSE)</f>
        <v>Kantoren/kantoortuin</v>
      </c>
      <c r="L848" s="247" t="s">
        <v>677</v>
      </c>
      <c r="M848" s="246" t="s">
        <v>270</v>
      </c>
      <c r="N848" s="200">
        <v>25.83</v>
      </c>
      <c r="O848" s="200"/>
      <c r="P848" s="231" t="str">
        <f>VLOOKUP(Ruimtestaat[[#This Row],[Ruimte code]],Ruimtegroepen[#All],4,FALSE)</f>
        <v>B  (Bureauruimte)</v>
      </c>
      <c r="Q848" s="201"/>
      <c r="R848" s="202">
        <v>42</v>
      </c>
      <c r="S848" s="202" t="s">
        <v>2</v>
      </c>
      <c r="T848" s="202">
        <f>IF(R848&gt;0,IF(RIGHT(Ruimtestaat[[#This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48" s="202">
        <f>IF(T848&gt;0,VLOOKUP($J848,Ruimtegroepen[],3,FALSE)*VLOOKUP($L848,Vloersoorten[],3,FALSE)*VLOOKUP($S848,Frequenties[],3,FALSE)*VLOOKUP($A848,Locaties[],3,FALSE),0)</f>
        <v>0</v>
      </c>
      <c r="V848" s="202">
        <f>Ruimtestaat[[#This Row],[Uitvoeringen werkdagen]]*Ruimtestaat[[#This Row],[Oppervlak (netto)]]</f>
        <v>5424.2999999999993</v>
      </c>
      <c r="W848" s="242">
        <f>IF(U848&gt;0,Ruimtestaat[[#This Row],[Prest. (m2 /jaar) werkdagen]]/Ruimtestaat[[#This Row],[Norm (m2/uur) werkdagen]],0)</f>
        <v>0</v>
      </c>
      <c r="X848" s="243">
        <f>Ruimtestaat[[#This Row],[uren / jaar werkdagen]]*Tariefsopbouw!$D$38</f>
        <v>0</v>
      </c>
      <c r="Y848" s="33"/>
      <c r="Z848" s="33">
        <f>IF(Ruimtestaat[[#This Row],[Frequentie weekend]]&gt;0,VALUE(LEFT(Y848,1))*R848,0)</f>
        <v>0</v>
      </c>
      <c r="AA848" s="33">
        <f>IF($Z848&gt;0,VLOOKUP($J848,Ruimtegroepen[],3,FALSE)*VLOOKUP($L848,Vloersoorten[],3,FALSE)*VLOOKUP($Y848,Frequenties[],3,FALSE)*VLOOKUP(#REF!,Locaties[],3,FALSE),0)</f>
        <v>0</v>
      </c>
      <c r="AB848" s="33"/>
      <c r="AC848" s="33"/>
      <c r="AD848" s="33">
        <f>Ruimtestaat[[#This Row],[uren / jaar weekend]]*Tariefsopbouw!$D$40</f>
        <v>0</v>
      </c>
      <c r="AE848" s="86">
        <f>Ruimtestaat[[#This Row],[Prest. (m2 /jaar) weekend]]+Ruimtestaat[[#This Row],[Prest. (m2 /jaar) werkdagen]]</f>
        <v>5424.2999999999993</v>
      </c>
      <c r="AF848" s="86">
        <f>Ruimtestaat[[#This Row],[uren / jaar weekend]]+Ruimtestaat[[#This Row],[uren / jaar werkdagen]]</f>
        <v>0</v>
      </c>
      <c r="AG848" s="87">
        <f>Ruimtestaat[[#This Row],[kosten / jaar weekend]]+Ruimtestaat[[#This Row],[kosten / jaar werkdagen]]</f>
        <v>0</v>
      </c>
    </row>
    <row r="849" spans="1:33" ht="15" customHeight="1">
      <c r="A849" s="187">
        <v>6</v>
      </c>
      <c r="B849" s="21" t="str">
        <f>VLOOKUP(Ruimtestaat[[#This Row],[Code]],Locaties[#All],2,FALSE)</f>
        <v>De Thij</v>
      </c>
      <c r="C849" s="247" t="str">
        <f>VLOOKUP(Ruimtestaat[[#This Row],[Code]],Locaties[#All],4,FALSE)</f>
        <v>Thijlaan 30</v>
      </c>
      <c r="D849" s="247" t="str">
        <f>VLOOKUP(Ruimtestaat[[#This Row],[Code]],Locaties[#All],5,FALSE)</f>
        <v>7576 ZB</v>
      </c>
      <c r="E849" s="187" t="str">
        <f>VLOOKUP(Ruimtestaat[[#This Row],[Code]],Locaties[#All],6,FALSE)</f>
        <v>Oldenzaal</v>
      </c>
      <c r="F849" s="248"/>
      <c r="G849" s="246">
        <v>2</v>
      </c>
      <c r="H849" s="246" t="s">
        <v>893</v>
      </c>
      <c r="I849" s="248" t="s">
        <v>664</v>
      </c>
      <c r="J849" s="247">
        <v>2</v>
      </c>
      <c r="K849" s="247" t="str">
        <f>VLOOKUP(Ruimtestaat[[#This Row],[Ruimte code]],Ruimtegroepen[#All],2,FALSE)</f>
        <v>Kantoren/kantoortuin</v>
      </c>
      <c r="L849" s="247" t="s">
        <v>677</v>
      </c>
      <c r="M849" s="246" t="s">
        <v>270</v>
      </c>
      <c r="N849" s="200">
        <v>29.36</v>
      </c>
      <c r="O849" s="200"/>
      <c r="P849" s="231" t="str">
        <f>VLOOKUP(Ruimtestaat[[#This Row],[Ruimte code]],Ruimtegroepen[#All],4,FALSE)</f>
        <v>B  (Bureauruimte)</v>
      </c>
      <c r="Q849" s="201"/>
      <c r="R849" s="202">
        <v>42</v>
      </c>
      <c r="S849" s="202" t="s">
        <v>2</v>
      </c>
      <c r="T849" s="202">
        <f>IF(R849&gt;0,IF(RIGHT(Ruimtestaat[[#This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49" s="202">
        <f>IF(T849&gt;0,VLOOKUP($J849,Ruimtegroepen[],3,FALSE)*VLOOKUP($L849,Vloersoorten[],3,FALSE)*VLOOKUP($S849,Frequenties[],3,FALSE)*VLOOKUP($A849,Locaties[],3,FALSE),0)</f>
        <v>0</v>
      </c>
      <c r="V849" s="202">
        <f>Ruimtestaat[[#This Row],[Uitvoeringen werkdagen]]*Ruimtestaat[[#This Row],[Oppervlak (netto)]]</f>
        <v>6165.5999999999995</v>
      </c>
      <c r="W849" s="242">
        <f>IF(U849&gt;0,Ruimtestaat[[#This Row],[Prest. (m2 /jaar) werkdagen]]/Ruimtestaat[[#This Row],[Norm (m2/uur) werkdagen]],0)</f>
        <v>0</v>
      </c>
      <c r="X849" s="243">
        <f>Ruimtestaat[[#This Row],[uren / jaar werkdagen]]*Tariefsopbouw!$D$38</f>
        <v>0</v>
      </c>
      <c r="Y849" s="33"/>
      <c r="Z849" s="33">
        <f>IF(Ruimtestaat[[#This Row],[Frequentie weekend]]&gt;0,VALUE(LEFT(Y849,1))*R849,0)</f>
        <v>0</v>
      </c>
      <c r="AA849" s="33">
        <f>IF($Z849&gt;0,VLOOKUP($J849,Ruimtegroepen[],3,FALSE)*VLOOKUP($L849,Vloersoorten[],3,FALSE)*VLOOKUP($Y849,Frequenties[],3,FALSE)*VLOOKUP(#REF!,Locaties[],3,FALSE),0)</f>
        <v>0</v>
      </c>
      <c r="AB849" s="33"/>
      <c r="AC849" s="33"/>
      <c r="AD849" s="33">
        <f>Ruimtestaat[[#This Row],[uren / jaar weekend]]*Tariefsopbouw!$D$40</f>
        <v>0</v>
      </c>
      <c r="AE849" s="86">
        <f>Ruimtestaat[[#This Row],[Prest. (m2 /jaar) weekend]]+Ruimtestaat[[#This Row],[Prest. (m2 /jaar) werkdagen]]</f>
        <v>6165.5999999999995</v>
      </c>
      <c r="AF849" s="86">
        <f>Ruimtestaat[[#This Row],[uren / jaar weekend]]+Ruimtestaat[[#This Row],[uren / jaar werkdagen]]</f>
        <v>0</v>
      </c>
      <c r="AG849" s="87">
        <f>Ruimtestaat[[#This Row],[kosten / jaar weekend]]+Ruimtestaat[[#This Row],[kosten / jaar werkdagen]]</f>
        <v>0</v>
      </c>
    </row>
    <row r="850" spans="1:33" ht="15" customHeight="1">
      <c r="A850" s="187">
        <v>6</v>
      </c>
      <c r="B850" s="21" t="str">
        <f>VLOOKUP(Ruimtestaat[[#This Row],[Code]],Locaties[#All],2,FALSE)</f>
        <v>De Thij</v>
      </c>
      <c r="C850" s="247" t="str">
        <f>VLOOKUP(Ruimtestaat[[#This Row],[Code]],Locaties[#All],4,FALSE)</f>
        <v>Thijlaan 30</v>
      </c>
      <c r="D850" s="247" t="str">
        <f>VLOOKUP(Ruimtestaat[[#This Row],[Code]],Locaties[#All],5,FALSE)</f>
        <v>7576 ZB</v>
      </c>
      <c r="E850" s="187" t="str">
        <f>VLOOKUP(Ruimtestaat[[#This Row],[Code]],Locaties[#All],6,FALSE)</f>
        <v>Oldenzaal</v>
      </c>
      <c r="F850" s="248"/>
      <c r="G850" s="246">
        <v>2</v>
      </c>
      <c r="H850" s="246" t="s">
        <v>894</v>
      </c>
      <c r="I850" s="248" t="s">
        <v>442</v>
      </c>
      <c r="J850" s="187">
        <v>1</v>
      </c>
      <c r="K850" s="187" t="str">
        <f>VLOOKUP(Ruimtestaat[[#This Row],[Ruimte code]],Ruimtegroepen[#All],2,FALSE)</f>
        <v>Magazijnen/bergingen</v>
      </c>
      <c r="L850" s="247" t="s">
        <v>677</v>
      </c>
      <c r="M850" s="246" t="s">
        <v>270</v>
      </c>
      <c r="N850" s="200">
        <v>5.44</v>
      </c>
      <c r="O850" s="200"/>
      <c r="P850" s="231" t="str">
        <f>VLOOKUP(Ruimtestaat[[#This Row],[Ruimte code]],Ruimtegroepen[#All],4,FALSE)</f>
        <v>V  (Verkeersruimte)</v>
      </c>
      <c r="Q850" s="201"/>
      <c r="R850" s="202">
        <v>42</v>
      </c>
      <c r="S850" s="202" t="s">
        <v>15</v>
      </c>
      <c r="T850" s="202">
        <f>IF(R850&gt;0,IF(RIGHT(Ruimtestaat[[#This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850" s="202">
        <f>IF(T850&gt;0,VLOOKUP($J850,Ruimtegroepen[],3,FALSE)*VLOOKUP($L850,Vloersoorten[],3,FALSE)*VLOOKUP($S850,Frequenties[],3,FALSE)*VLOOKUP($A850,Locaties[],3,FALSE),0)</f>
        <v>0</v>
      </c>
      <c r="V850" s="202">
        <f>Ruimtestaat[[#This Row],[Uitvoeringen werkdagen]]*Ruimtestaat[[#This Row],[Oppervlak (netto)]]</f>
        <v>228.48000000000002</v>
      </c>
      <c r="W850" s="242">
        <f>IF(U850&gt;0,Ruimtestaat[[#This Row],[Prest. (m2 /jaar) werkdagen]]/Ruimtestaat[[#This Row],[Norm (m2/uur) werkdagen]],0)</f>
        <v>0</v>
      </c>
      <c r="X850" s="243">
        <f>Ruimtestaat[[#This Row],[uren / jaar werkdagen]]*Tariefsopbouw!$D$38</f>
        <v>0</v>
      </c>
      <c r="Y850" s="33"/>
      <c r="Z850" s="33">
        <f>IF(Ruimtestaat[[#This Row],[Frequentie weekend]]&gt;0,VALUE(LEFT(Y850,1))*R850,0)</f>
        <v>0</v>
      </c>
      <c r="AA850" s="33">
        <f>IF($Z850&gt;0,VLOOKUP($J850,Ruimtegroepen[],3,FALSE)*VLOOKUP($L850,Vloersoorten[],3,FALSE)*VLOOKUP($Y850,Frequenties[],3,FALSE)*VLOOKUP(#REF!,Locaties[],3,FALSE),0)</f>
        <v>0</v>
      </c>
      <c r="AB850" s="33"/>
      <c r="AC850" s="33"/>
      <c r="AD850" s="33">
        <f>Ruimtestaat[[#This Row],[uren / jaar weekend]]*Tariefsopbouw!$D$40</f>
        <v>0</v>
      </c>
      <c r="AE850" s="86">
        <f>Ruimtestaat[[#This Row],[Prest. (m2 /jaar) weekend]]+Ruimtestaat[[#This Row],[Prest. (m2 /jaar) werkdagen]]</f>
        <v>228.48000000000002</v>
      </c>
      <c r="AF850" s="86">
        <f>Ruimtestaat[[#This Row],[uren / jaar weekend]]+Ruimtestaat[[#This Row],[uren / jaar werkdagen]]</f>
        <v>0</v>
      </c>
      <c r="AG850" s="87">
        <f>Ruimtestaat[[#This Row],[kosten / jaar weekend]]+Ruimtestaat[[#This Row],[kosten / jaar werkdagen]]</f>
        <v>0</v>
      </c>
    </row>
    <row r="851" spans="1:33" ht="15" customHeight="1">
      <c r="A851" s="187">
        <v>6</v>
      </c>
      <c r="B851" s="21" t="str">
        <f>VLOOKUP(Ruimtestaat[[#This Row],[Code]],Locaties[#All],2,FALSE)</f>
        <v>De Thij</v>
      </c>
      <c r="C851" s="247" t="str">
        <f>VLOOKUP(Ruimtestaat[[#This Row],[Code]],Locaties[#All],4,FALSE)</f>
        <v>Thijlaan 30</v>
      </c>
      <c r="D851" s="247" t="str">
        <f>VLOOKUP(Ruimtestaat[[#This Row],[Code]],Locaties[#All],5,FALSE)</f>
        <v>7576 ZB</v>
      </c>
      <c r="E851" s="187" t="str">
        <f>VLOOKUP(Ruimtestaat[[#This Row],[Code]],Locaties[#All],6,FALSE)</f>
        <v>Oldenzaal</v>
      </c>
      <c r="F851" s="248"/>
      <c r="G851" s="246">
        <v>2</v>
      </c>
      <c r="H851" s="246" t="s">
        <v>894</v>
      </c>
      <c r="I851" s="248" t="s">
        <v>448</v>
      </c>
      <c r="J851" s="187">
        <v>1</v>
      </c>
      <c r="K851" s="187" t="str">
        <f>VLOOKUP(Ruimtestaat[[#This Row],[Ruimte code]],Ruimtegroepen[#All],2,FALSE)</f>
        <v>Magazijnen/bergingen</v>
      </c>
      <c r="L851" s="247" t="s">
        <v>677</v>
      </c>
      <c r="M851" s="246" t="s">
        <v>270</v>
      </c>
      <c r="N851" s="200">
        <v>16.36</v>
      </c>
      <c r="O851" s="200"/>
      <c r="P851" s="231" t="str">
        <f>VLOOKUP(Ruimtestaat[[#This Row],[Ruimte code]],Ruimtegroepen[#All],4,FALSE)</f>
        <v>V  (Verkeersruimte)</v>
      </c>
      <c r="Q851" s="201"/>
      <c r="R851" s="202">
        <v>42</v>
      </c>
      <c r="S851" s="202" t="s">
        <v>15</v>
      </c>
      <c r="T851" s="202">
        <f>IF(R851&gt;0,IF(RIGHT(Ruimtestaat[[#This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851" s="202">
        <f>IF(T851&gt;0,VLOOKUP($J851,Ruimtegroepen[],3,FALSE)*VLOOKUP($L851,Vloersoorten[],3,FALSE)*VLOOKUP($S851,Frequenties[],3,FALSE)*VLOOKUP($A851,Locaties[],3,FALSE),0)</f>
        <v>0</v>
      </c>
      <c r="V851" s="202">
        <f>Ruimtestaat[[#This Row],[Uitvoeringen werkdagen]]*Ruimtestaat[[#This Row],[Oppervlak (netto)]]</f>
        <v>687.12</v>
      </c>
      <c r="W851" s="242">
        <f>IF(U851&gt;0,Ruimtestaat[[#This Row],[Prest. (m2 /jaar) werkdagen]]/Ruimtestaat[[#This Row],[Norm (m2/uur) werkdagen]],0)</f>
        <v>0</v>
      </c>
      <c r="X851" s="243">
        <f>Ruimtestaat[[#This Row],[uren / jaar werkdagen]]*Tariefsopbouw!$D$38</f>
        <v>0</v>
      </c>
      <c r="Y851" s="33"/>
      <c r="Z851" s="33">
        <f>IF(Ruimtestaat[[#This Row],[Frequentie weekend]]&gt;0,VALUE(LEFT(Y851,1))*R851,0)</f>
        <v>0</v>
      </c>
      <c r="AA851" s="33">
        <f>IF($Z851&gt;0,VLOOKUP($J851,Ruimtegroepen[],3,FALSE)*VLOOKUP($L851,Vloersoorten[],3,FALSE)*VLOOKUP($Y851,Frequenties[],3,FALSE)*VLOOKUP(#REF!,Locaties[],3,FALSE),0)</f>
        <v>0</v>
      </c>
      <c r="AB851" s="33"/>
      <c r="AC851" s="33"/>
      <c r="AD851" s="33">
        <f>Ruimtestaat[[#This Row],[uren / jaar weekend]]*Tariefsopbouw!$D$40</f>
        <v>0</v>
      </c>
      <c r="AE851" s="86">
        <f>Ruimtestaat[[#This Row],[Prest. (m2 /jaar) weekend]]+Ruimtestaat[[#This Row],[Prest. (m2 /jaar) werkdagen]]</f>
        <v>687.12</v>
      </c>
      <c r="AF851" s="86">
        <f>Ruimtestaat[[#This Row],[uren / jaar weekend]]+Ruimtestaat[[#This Row],[uren / jaar werkdagen]]</f>
        <v>0</v>
      </c>
      <c r="AG851" s="87">
        <f>Ruimtestaat[[#This Row],[kosten / jaar weekend]]+Ruimtestaat[[#This Row],[kosten / jaar werkdagen]]</f>
        <v>0</v>
      </c>
    </row>
    <row r="852" spans="1:33" ht="15" customHeight="1">
      <c r="A852" s="187">
        <v>6</v>
      </c>
      <c r="B852" s="21" t="str">
        <f>VLOOKUP(Ruimtestaat[[#This Row],[Code]],Locaties[#All],2,FALSE)</f>
        <v>De Thij</v>
      </c>
      <c r="C852" s="247" t="str">
        <f>VLOOKUP(Ruimtestaat[[#This Row],[Code]],Locaties[#All],4,FALSE)</f>
        <v>Thijlaan 30</v>
      </c>
      <c r="D852" s="247" t="str">
        <f>VLOOKUP(Ruimtestaat[[#This Row],[Code]],Locaties[#All],5,FALSE)</f>
        <v>7576 ZB</v>
      </c>
      <c r="E852" s="187" t="str">
        <f>VLOOKUP(Ruimtestaat[[#This Row],[Code]],Locaties[#All],6,FALSE)</f>
        <v>Oldenzaal</v>
      </c>
      <c r="F852" s="248"/>
      <c r="G852" s="246">
        <v>2</v>
      </c>
      <c r="H852" s="246" t="s">
        <v>895</v>
      </c>
      <c r="I852" s="248" t="s">
        <v>605</v>
      </c>
      <c r="J852" s="187">
        <v>1</v>
      </c>
      <c r="K852" s="187" t="str">
        <f>VLOOKUP(Ruimtestaat[[#This Row],[Ruimte code]],Ruimtegroepen[#All],2,FALSE)</f>
        <v>Magazijnen/bergingen</v>
      </c>
      <c r="L852" s="247" t="s">
        <v>677</v>
      </c>
      <c r="M852" s="246" t="s">
        <v>270</v>
      </c>
      <c r="N852" s="200">
        <v>6.8</v>
      </c>
      <c r="O852" s="200"/>
      <c r="P852" s="231" t="str">
        <f>VLOOKUP(Ruimtestaat[[#This Row],[Ruimte code]],Ruimtegroepen[#All],4,FALSE)</f>
        <v>V  (Verkeersruimte)</v>
      </c>
      <c r="Q852" s="201"/>
      <c r="R852" s="202">
        <v>42</v>
      </c>
      <c r="S852" s="202" t="s">
        <v>15</v>
      </c>
      <c r="T852" s="202">
        <f>IF(R852&gt;0,IF(RIGHT(Ruimtestaat[[#This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</v>
      </c>
      <c r="U852" s="202">
        <f>IF(T852&gt;0,VLOOKUP($J852,Ruimtegroepen[],3,FALSE)*VLOOKUP($L852,Vloersoorten[],3,FALSE)*VLOOKUP($S852,Frequenties[],3,FALSE)*VLOOKUP($A852,Locaties[],3,FALSE),0)</f>
        <v>0</v>
      </c>
      <c r="V852" s="202">
        <f>Ruimtestaat[[#This Row],[Uitvoeringen werkdagen]]*Ruimtestaat[[#This Row],[Oppervlak (netto)]]</f>
        <v>285.59999999999997</v>
      </c>
      <c r="W852" s="242">
        <f>IF(U852&gt;0,Ruimtestaat[[#This Row],[Prest. (m2 /jaar) werkdagen]]/Ruimtestaat[[#This Row],[Norm (m2/uur) werkdagen]],0)</f>
        <v>0</v>
      </c>
      <c r="X852" s="243">
        <f>Ruimtestaat[[#This Row],[uren / jaar werkdagen]]*Tariefsopbouw!$D$38</f>
        <v>0</v>
      </c>
      <c r="Y852" s="33"/>
      <c r="Z852" s="33">
        <f>IF(Ruimtestaat[[#This Row],[Frequentie weekend]]&gt;0,VALUE(LEFT(Y852,1))*R852,0)</f>
        <v>0</v>
      </c>
      <c r="AA852" s="33">
        <f>IF($Z852&gt;0,VLOOKUP($J852,Ruimtegroepen[],3,FALSE)*VLOOKUP($L852,Vloersoorten[],3,FALSE)*VLOOKUP($Y852,Frequenties[],3,FALSE)*VLOOKUP(#REF!,Locaties[],3,FALSE),0)</f>
        <v>0</v>
      </c>
      <c r="AB852" s="33"/>
      <c r="AC852" s="33"/>
      <c r="AD852" s="33">
        <f>Ruimtestaat[[#This Row],[uren / jaar weekend]]*Tariefsopbouw!$D$40</f>
        <v>0</v>
      </c>
      <c r="AE852" s="86">
        <f>Ruimtestaat[[#This Row],[Prest. (m2 /jaar) weekend]]+Ruimtestaat[[#This Row],[Prest. (m2 /jaar) werkdagen]]</f>
        <v>285.59999999999997</v>
      </c>
      <c r="AF852" s="86">
        <f>Ruimtestaat[[#This Row],[uren / jaar weekend]]+Ruimtestaat[[#This Row],[uren / jaar werkdagen]]</f>
        <v>0</v>
      </c>
      <c r="AG852" s="87">
        <f>Ruimtestaat[[#This Row],[kosten / jaar weekend]]+Ruimtestaat[[#This Row],[kosten / jaar werkdagen]]</f>
        <v>0</v>
      </c>
    </row>
    <row r="853" spans="1:33" ht="15" customHeight="1">
      <c r="A853" s="187">
        <v>6</v>
      </c>
      <c r="B853" s="21" t="str">
        <f>VLOOKUP(Ruimtestaat[[#This Row],[Code]],Locaties[#All],2,FALSE)</f>
        <v>De Thij</v>
      </c>
      <c r="C853" s="247" t="str">
        <f>VLOOKUP(Ruimtestaat[[#This Row],[Code]],Locaties[#All],4,FALSE)</f>
        <v>Thijlaan 30</v>
      </c>
      <c r="D853" s="247" t="str">
        <f>VLOOKUP(Ruimtestaat[[#This Row],[Code]],Locaties[#All],5,FALSE)</f>
        <v>7576 ZB</v>
      </c>
      <c r="E853" s="187" t="str">
        <f>VLOOKUP(Ruimtestaat[[#This Row],[Code]],Locaties[#All],6,FALSE)</f>
        <v>Oldenzaal</v>
      </c>
      <c r="F853" s="248"/>
      <c r="G853" s="246">
        <v>2</v>
      </c>
      <c r="H853" s="246" t="s">
        <v>896</v>
      </c>
      <c r="I853" s="248" t="s">
        <v>484</v>
      </c>
      <c r="J853" s="187">
        <v>13</v>
      </c>
      <c r="K853" s="187" t="str">
        <f>VLOOKUP(Ruimtestaat[[#This Row],[Ruimte code]],Ruimtegroepen[#All],2,FALSE)</f>
        <v>Personeelskamer</v>
      </c>
      <c r="L853" s="247" t="s">
        <v>677</v>
      </c>
      <c r="M853" s="246" t="s">
        <v>270</v>
      </c>
      <c r="N853" s="200">
        <v>183.26</v>
      </c>
      <c r="O853" s="200"/>
      <c r="P853" s="231" t="str">
        <f>VLOOKUP(Ruimtestaat[[#This Row],[Ruimte code]],Ruimtegroepen[#All],4,FALSE)</f>
        <v>V  (Verkeersruimte)</v>
      </c>
      <c r="Q853" s="201"/>
      <c r="R853" s="202">
        <v>42</v>
      </c>
      <c r="S853" s="202" t="s">
        <v>2</v>
      </c>
      <c r="T853" s="202">
        <f>IF(R853&gt;0,IF(RIGHT(Ruimtestaat[[#This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53" s="202">
        <f>IF(T853&gt;0,VLOOKUP($J853,Ruimtegroepen[],3,FALSE)*VLOOKUP($L853,Vloersoorten[],3,FALSE)*VLOOKUP($S853,Frequenties[],3,FALSE)*VLOOKUP($A853,Locaties[],3,FALSE),0)</f>
        <v>0</v>
      </c>
      <c r="V853" s="202">
        <f>Ruimtestaat[[#This Row],[Uitvoeringen werkdagen]]*Ruimtestaat[[#This Row],[Oppervlak (netto)]]</f>
        <v>38484.6</v>
      </c>
      <c r="W853" s="242">
        <f>IF(U853&gt;0,Ruimtestaat[[#This Row],[Prest. (m2 /jaar) werkdagen]]/Ruimtestaat[[#This Row],[Norm (m2/uur) werkdagen]],0)</f>
        <v>0</v>
      </c>
      <c r="X853" s="243">
        <f>Ruimtestaat[[#This Row],[uren / jaar werkdagen]]*Tariefsopbouw!$D$38</f>
        <v>0</v>
      </c>
      <c r="Y853" s="33"/>
      <c r="Z853" s="33">
        <f>IF(Ruimtestaat[[#This Row],[Frequentie weekend]]&gt;0,VALUE(LEFT(Y853,1))*R853,0)</f>
        <v>0</v>
      </c>
      <c r="AA853" s="33">
        <f>IF($Z853&gt;0,VLOOKUP($J853,Ruimtegroepen[],3,FALSE)*VLOOKUP($L853,Vloersoorten[],3,FALSE)*VLOOKUP($Y853,Frequenties[],3,FALSE)*VLOOKUP(#REF!,Locaties[],3,FALSE),0)</f>
        <v>0</v>
      </c>
      <c r="AB853" s="33"/>
      <c r="AC853" s="33"/>
      <c r="AD853" s="33">
        <f>Ruimtestaat[[#This Row],[uren / jaar weekend]]*Tariefsopbouw!$D$40</f>
        <v>0</v>
      </c>
      <c r="AE853" s="86">
        <f>Ruimtestaat[[#This Row],[Prest. (m2 /jaar) weekend]]+Ruimtestaat[[#This Row],[Prest. (m2 /jaar) werkdagen]]</f>
        <v>38484.6</v>
      </c>
      <c r="AF853" s="86">
        <f>Ruimtestaat[[#This Row],[uren / jaar weekend]]+Ruimtestaat[[#This Row],[uren / jaar werkdagen]]</f>
        <v>0</v>
      </c>
      <c r="AG853" s="87">
        <f>Ruimtestaat[[#This Row],[kosten / jaar weekend]]+Ruimtestaat[[#This Row],[kosten / jaar werkdagen]]</f>
        <v>0</v>
      </c>
    </row>
    <row r="854" spans="1:33" ht="15" customHeight="1">
      <c r="A854" s="187">
        <v>6</v>
      </c>
      <c r="B854" s="21" t="str">
        <f>VLOOKUP(Ruimtestaat[[#This Row],[Code]],Locaties[#All],2,FALSE)</f>
        <v>De Thij</v>
      </c>
      <c r="C854" s="247" t="str">
        <f>VLOOKUP(Ruimtestaat[[#This Row],[Code]],Locaties[#All],4,FALSE)</f>
        <v>Thijlaan 30</v>
      </c>
      <c r="D854" s="247" t="str">
        <f>VLOOKUP(Ruimtestaat[[#This Row],[Code]],Locaties[#All],5,FALSE)</f>
        <v>7576 ZB</v>
      </c>
      <c r="E854" s="187" t="str">
        <f>VLOOKUP(Ruimtestaat[[#This Row],[Code]],Locaties[#All],6,FALSE)</f>
        <v>Oldenzaal</v>
      </c>
      <c r="F854" s="248"/>
      <c r="G854" s="246">
        <v>2</v>
      </c>
      <c r="H854" s="246" t="s">
        <v>897</v>
      </c>
      <c r="I854" s="248" t="s">
        <v>250</v>
      </c>
      <c r="J854" s="187">
        <v>11</v>
      </c>
      <c r="K854" s="187" t="str">
        <f>VLOOKUP(Ruimtestaat[[#This Row],[Ruimte code]],Ruimtegroepen[#All],2,FALSE)</f>
        <v>Garderobes/kluisjesruimte</v>
      </c>
      <c r="L854" s="247" t="s">
        <v>677</v>
      </c>
      <c r="M854" s="246" t="s">
        <v>270</v>
      </c>
      <c r="N854" s="200">
        <v>23.38</v>
      </c>
      <c r="O854" s="200"/>
      <c r="P854" s="231" t="str">
        <f>VLOOKUP(Ruimtestaat[[#This Row],[Ruimte code]],Ruimtegroepen[#All],4,FALSE)</f>
        <v>V  (Verkeersruimte)</v>
      </c>
      <c r="Q854" s="201"/>
      <c r="R854" s="202">
        <v>42</v>
      </c>
      <c r="S854" s="202" t="s">
        <v>2</v>
      </c>
      <c r="T854" s="202">
        <f>IF(R854&gt;0,IF(RIGHT(Ruimtestaat[[#This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54" s="202">
        <f>IF(T854&gt;0,VLOOKUP($J854,Ruimtegroepen[],3,FALSE)*VLOOKUP($L854,Vloersoorten[],3,FALSE)*VLOOKUP($S854,Frequenties[],3,FALSE)*VLOOKUP($A854,Locaties[],3,FALSE),0)</f>
        <v>0</v>
      </c>
      <c r="V854" s="202">
        <f>Ruimtestaat[[#This Row],[Uitvoeringen werkdagen]]*Ruimtestaat[[#This Row],[Oppervlak (netto)]]</f>
        <v>4909.8</v>
      </c>
      <c r="W854" s="242">
        <f>IF(U854&gt;0,Ruimtestaat[[#This Row],[Prest. (m2 /jaar) werkdagen]]/Ruimtestaat[[#This Row],[Norm (m2/uur) werkdagen]],0)</f>
        <v>0</v>
      </c>
      <c r="X854" s="243">
        <f>Ruimtestaat[[#This Row],[uren / jaar werkdagen]]*Tariefsopbouw!$D$38</f>
        <v>0</v>
      </c>
      <c r="Y854" s="33"/>
      <c r="Z854" s="33">
        <f>IF(Ruimtestaat[[#This Row],[Frequentie weekend]]&gt;0,VALUE(LEFT(Y854,1))*R854,0)</f>
        <v>0</v>
      </c>
      <c r="AA854" s="33">
        <f>IF($Z854&gt;0,VLOOKUP($J854,Ruimtegroepen[],3,FALSE)*VLOOKUP($L854,Vloersoorten[],3,FALSE)*VLOOKUP($Y854,Frequenties[],3,FALSE)*VLOOKUP(#REF!,Locaties[],3,FALSE),0)</f>
        <v>0</v>
      </c>
      <c r="AB854" s="33"/>
      <c r="AC854" s="33"/>
      <c r="AD854" s="33">
        <f>Ruimtestaat[[#This Row],[uren / jaar weekend]]*Tariefsopbouw!$D$40</f>
        <v>0</v>
      </c>
      <c r="AE854" s="86">
        <f>Ruimtestaat[[#This Row],[Prest. (m2 /jaar) weekend]]+Ruimtestaat[[#This Row],[Prest. (m2 /jaar) werkdagen]]</f>
        <v>4909.8</v>
      </c>
      <c r="AF854" s="86">
        <f>Ruimtestaat[[#This Row],[uren / jaar weekend]]+Ruimtestaat[[#This Row],[uren / jaar werkdagen]]</f>
        <v>0</v>
      </c>
      <c r="AG854" s="87">
        <f>Ruimtestaat[[#This Row],[kosten / jaar weekend]]+Ruimtestaat[[#This Row],[kosten / jaar werkdagen]]</f>
        <v>0</v>
      </c>
    </row>
    <row r="855" spans="1:33" ht="15" customHeight="1">
      <c r="A855" s="187">
        <v>6</v>
      </c>
      <c r="B855" s="21" t="str">
        <f>VLOOKUP(Ruimtestaat[[#This Row],[Code]],Locaties[#All],2,FALSE)</f>
        <v>De Thij</v>
      </c>
      <c r="C855" s="247" t="str">
        <f>VLOOKUP(Ruimtestaat[[#This Row],[Code]],Locaties[#All],4,FALSE)</f>
        <v>Thijlaan 30</v>
      </c>
      <c r="D855" s="247" t="str">
        <f>VLOOKUP(Ruimtestaat[[#This Row],[Code]],Locaties[#All],5,FALSE)</f>
        <v>7576 ZB</v>
      </c>
      <c r="E855" s="187" t="str">
        <f>VLOOKUP(Ruimtestaat[[#This Row],[Code]],Locaties[#All],6,FALSE)</f>
        <v>Oldenzaal</v>
      </c>
      <c r="F855" s="248"/>
      <c r="G855" s="246">
        <v>2</v>
      </c>
      <c r="H855" s="246" t="s">
        <v>898</v>
      </c>
      <c r="I855" s="248" t="s">
        <v>480</v>
      </c>
      <c r="J855" s="187">
        <v>5</v>
      </c>
      <c r="K855" s="187" t="str">
        <f>VLOOKUP(Ruimtestaat[[#This Row],[Ruimte code]],Ruimtegroepen[#All],2,FALSE)</f>
        <v>Sanitair</v>
      </c>
      <c r="L855" s="202" t="s">
        <v>108</v>
      </c>
      <c r="M855" s="246" t="s">
        <v>1206</v>
      </c>
      <c r="N855" s="200">
        <v>62</v>
      </c>
      <c r="O855" s="200"/>
      <c r="P855" s="231" t="str">
        <f>VLOOKUP(Ruimtestaat[[#This Row],[Ruimte code]],Ruimtegroepen[#All],4,FALSE)</f>
        <v>S  (Sanitair)</v>
      </c>
      <c r="Q855" s="201"/>
      <c r="R855" s="202">
        <v>42</v>
      </c>
      <c r="S855" s="202" t="s">
        <v>19</v>
      </c>
      <c r="T855" s="202">
        <f>IF(R855&gt;0,IF(RIGHT(Ruimtestaat[[#This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855" s="202">
        <f>IF(T855&gt;0,VLOOKUP($J855,Ruimtegroepen[],3,FALSE)*VLOOKUP($L855,Vloersoorten[],3,FALSE)*VLOOKUP($S855,Frequenties[],3,FALSE)*VLOOKUP($A855,Locaties[],3,FALSE),0)</f>
        <v>0</v>
      </c>
      <c r="V855" s="202">
        <f>Ruimtestaat[[#This Row],[Uitvoeringen werkdagen]]*Ruimtestaat[[#This Row],[Oppervlak (netto)]]</f>
        <v>26040</v>
      </c>
      <c r="W855" s="242">
        <f>IF(U855&gt;0,Ruimtestaat[[#This Row],[Prest. (m2 /jaar) werkdagen]]/Ruimtestaat[[#This Row],[Norm (m2/uur) werkdagen]],0)</f>
        <v>0</v>
      </c>
      <c r="X855" s="243">
        <f>Ruimtestaat[[#This Row],[uren / jaar werkdagen]]*Tariefsopbouw!$D$38</f>
        <v>0</v>
      </c>
      <c r="Y855" s="33"/>
      <c r="Z855" s="33">
        <f>IF(Ruimtestaat[[#This Row],[Frequentie weekend]]&gt;0,VALUE(LEFT(Y855,1))*R855,0)</f>
        <v>0</v>
      </c>
      <c r="AA855" s="33">
        <f>IF($Z855&gt;0,VLOOKUP($J855,Ruimtegroepen[],3,FALSE)*VLOOKUP($L855,Vloersoorten[],3,FALSE)*VLOOKUP($Y855,Frequenties[],3,FALSE)*VLOOKUP(#REF!,Locaties[],3,FALSE),0)</f>
        <v>0</v>
      </c>
      <c r="AB855" s="33"/>
      <c r="AC855" s="33"/>
      <c r="AD855" s="33">
        <f>Ruimtestaat[[#This Row],[uren / jaar weekend]]*Tariefsopbouw!$D$40</f>
        <v>0</v>
      </c>
      <c r="AE855" s="86">
        <f>Ruimtestaat[[#This Row],[Prest. (m2 /jaar) weekend]]+Ruimtestaat[[#This Row],[Prest. (m2 /jaar) werkdagen]]</f>
        <v>26040</v>
      </c>
      <c r="AF855" s="86">
        <f>Ruimtestaat[[#This Row],[uren / jaar weekend]]+Ruimtestaat[[#This Row],[uren / jaar werkdagen]]</f>
        <v>0</v>
      </c>
      <c r="AG855" s="87">
        <f>Ruimtestaat[[#This Row],[kosten / jaar weekend]]+Ruimtestaat[[#This Row],[kosten / jaar werkdagen]]</f>
        <v>0</v>
      </c>
    </row>
    <row r="856" spans="1:33" ht="15" customHeight="1">
      <c r="A856" s="187">
        <v>6</v>
      </c>
      <c r="B856" s="21" t="str">
        <f>VLOOKUP(Ruimtestaat[[#This Row],[Code]],Locaties[#All],2,FALSE)</f>
        <v>De Thij</v>
      </c>
      <c r="C856" s="247" t="str">
        <f>VLOOKUP(Ruimtestaat[[#This Row],[Code]],Locaties[#All],4,FALSE)</f>
        <v>Thijlaan 30</v>
      </c>
      <c r="D856" s="247" t="str">
        <f>VLOOKUP(Ruimtestaat[[#This Row],[Code]],Locaties[#All],5,FALSE)</f>
        <v>7576 ZB</v>
      </c>
      <c r="E856" s="187" t="str">
        <f>VLOOKUP(Ruimtestaat[[#This Row],[Code]],Locaties[#All],6,FALSE)</f>
        <v>Oldenzaal</v>
      </c>
      <c r="F856" s="248"/>
      <c r="G856" s="246">
        <v>2</v>
      </c>
      <c r="H856" s="246" t="s">
        <v>899</v>
      </c>
      <c r="I856" s="248" t="s">
        <v>480</v>
      </c>
      <c r="J856" s="187">
        <v>5</v>
      </c>
      <c r="K856" s="187" t="str">
        <f>VLOOKUP(Ruimtestaat[[#This Row],[Ruimte code]],Ruimtegroepen[#All],2,FALSE)</f>
        <v>Sanitair</v>
      </c>
      <c r="L856" s="202" t="s">
        <v>108</v>
      </c>
      <c r="M856" s="246" t="s">
        <v>1206</v>
      </c>
      <c r="N856" s="200">
        <v>37</v>
      </c>
      <c r="O856" s="200"/>
      <c r="P856" s="231" t="str">
        <f>VLOOKUP(Ruimtestaat[[#This Row],[Ruimte code]],Ruimtegroepen[#All],4,FALSE)</f>
        <v>S  (Sanitair)</v>
      </c>
      <c r="Q856" s="201"/>
      <c r="R856" s="202">
        <v>42</v>
      </c>
      <c r="S856" s="202" t="s">
        <v>19</v>
      </c>
      <c r="T856" s="202">
        <f>IF(R856&gt;0,IF(RIGHT(Ruimtestaat[[#This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856" s="202">
        <f>IF(T856&gt;0,VLOOKUP($J856,Ruimtegroepen[],3,FALSE)*VLOOKUP($L856,Vloersoorten[],3,FALSE)*VLOOKUP($S856,Frequenties[],3,FALSE)*VLOOKUP($A856,Locaties[],3,FALSE),0)</f>
        <v>0</v>
      </c>
      <c r="V856" s="202">
        <f>Ruimtestaat[[#This Row],[Uitvoeringen werkdagen]]*Ruimtestaat[[#This Row],[Oppervlak (netto)]]</f>
        <v>15540</v>
      </c>
      <c r="W856" s="242">
        <f>IF(U856&gt;0,Ruimtestaat[[#This Row],[Prest. (m2 /jaar) werkdagen]]/Ruimtestaat[[#This Row],[Norm (m2/uur) werkdagen]],0)</f>
        <v>0</v>
      </c>
      <c r="X856" s="243">
        <f>Ruimtestaat[[#This Row],[uren / jaar werkdagen]]*Tariefsopbouw!$D$38</f>
        <v>0</v>
      </c>
      <c r="Y856" s="33"/>
      <c r="Z856" s="33">
        <f>IF(Ruimtestaat[[#This Row],[Frequentie weekend]]&gt;0,VALUE(LEFT(Y856,1))*R856,0)</f>
        <v>0</v>
      </c>
      <c r="AA856" s="33">
        <f>IF($Z856&gt;0,VLOOKUP($J856,Ruimtegroepen[],3,FALSE)*VLOOKUP($L856,Vloersoorten[],3,FALSE)*VLOOKUP($Y856,Frequenties[],3,FALSE)*VLOOKUP(#REF!,Locaties[],3,FALSE),0)</f>
        <v>0</v>
      </c>
      <c r="AB856" s="33"/>
      <c r="AC856" s="33"/>
      <c r="AD856" s="33">
        <f>Ruimtestaat[[#This Row],[uren / jaar weekend]]*Tariefsopbouw!$D$40</f>
        <v>0</v>
      </c>
      <c r="AE856" s="86">
        <f>Ruimtestaat[[#This Row],[Prest. (m2 /jaar) weekend]]+Ruimtestaat[[#This Row],[Prest. (m2 /jaar) werkdagen]]</f>
        <v>15540</v>
      </c>
      <c r="AF856" s="86">
        <f>Ruimtestaat[[#This Row],[uren / jaar weekend]]+Ruimtestaat[[#This Row],[uren / jaar werkdagen]]</f>
        <v>0</v>
      </c>
      <c r="AG856" s="87">
        <f>Ruimtestaat[[#This Row],[kosten / jaar weekend]]+Ruimtestaat[[#This Row],[kosten / jaar werkdagen]]</f>
        <v>0</v>
      </c>
    </row>
    <row r="857" spans="1:33" ht="15" customHeight="1">
      <c r="A857" s="187">
        <v>6</v>
      </c>
      <c r="B857" s="21" t="str">
        <f>VLOOKUP(Ruimtestaat[[#This Row],[Code]],Locaties[#All],2,FALSE)</f>
        <v>De Thij</v>
      </c>
      <c r="C857" s="247" t="str">
        <f>VLOOKUP(Ruimtestaat[[#This Row],[Code]],Locaties[#All],4,FALSE)</f>
        <v>Thijlaan 30</v>
      </c>
      <c r="D857" s="247" t="str">
        <f>VLOOKUP(Ruimtestaat[[#This Row],[Code]],Locaties[#All],5,FALSE)</f>
        <v>7576 ZB</v>
      </c>
      <c r="E857" s="187" t="str">
        <f>VLOOKUP(Ruimtestaat[[#This Row],[Code]],Locaties[#All],6,FALSE)</f>
        <v>Oldenzaal</v>
      </c>
      <c r="F857" s="248"/>
      <c r="G857" s="246">
        <v>2</v>
      </c>
      <c r="H857" s="246" t="s">
        <v>900</v>
      </c>
      <c r="I857" s="248" t="s">
        <v>850</v>
      </c>
      <c r="J857" s="187">
        <v>20</v>
      </c>
      <c r="K857" s="187" t="str">
        <f>VLOOKUP(Ruimtestaat[[#This Row],[Ruimte code]],Ruimtegroepen[#All],2,FALSE)</f>
        <v>Niet in onderhoud</v>
      </c>
      <c r="L857" s="247"/>
      <c r="M857" s="246"/>
      <c r="N857" s="200"/>
      <c r="O857" s="200"/>
      <c r="P857" s="231" t="str">
        <f>VLOOKUP(Ruimtestaat[[#This Row],[Ruimte code]],Ruimtegroepen[#All],4,FALSE)</f>
        <v>V  (Verkeersruimte)</v>
      </c>
      <c r="Q857" s="201"/>
      <c r="R857" s="202"/>
      <c r="S857" s="202"/>
      <c r="T857" s="202">
        <f>IF(R857&gt;0,IF(RIGHT(Ruimtestaat[[#This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857" s="202">
        <f>IF(T857&gt;0,VLOOKUP($J857,Ruimtegroepen[],3,FALSE)*VLOOKUP($L857,Vloersoorten[],3,FALSE)*VLOOKUP($S857,Frequenties[],3,FALSE)*VLOOKUP($A857,Locaties[],3,FALSE),0)</f>
        <v>0</v>
      </c>
      <c r="V857" s="202">
        <f>Ruimtestaat[[#This Row],[Uitvoeringen werkdagen]]*Ruimtestaat[[#This Row],[Oppervlak (netto)]]</f>
        <v>0</v>
      </c>
      <c r="W857" s="242">
        <f>IF(U857&gt;0,Ruimtestaat[[#This Row],[Prest. (m2 /jaar) werkdagen]]/Ruimtestaat[[#This Row],[Norm (m2/uur) werkdagen]],0)</f>
        <v>0</v>
      </c>
      <c r="X857" s="243">
        <f>Ruimtestaat[[#This Row],[uren / jaar werkdagen]]*Tariefsopbouw!$D$38</f>
        <v>0</v>
      </c>
      <c r="Y857" s="33"/>
      <c r="Z857" s="33">
        <f>IF(Ruimtestaat[[#This Row],[Frequentie weekend]]&gt;0,VALUE(LEFT(Y857,1))*R857,0)</f>
        <v>0</v>
      </c>
      <c r="AA857" s="33">
        <f>IF($Z857&gt;0,VLOOKUP($J857,Ruimtegroepen[],3,FALSE)*VLOOKUP($L857,Vloersoorten[],3,FALSE)*VLOOKUP($Y857,Frequenties[],3,FALSE)*VLOOKUP(#REF!,Locaties[],3,FALSE),0)</f>
        <v>0</v>
      </c>
      <c r="AB857" s="33"/>
      <c r="AC857" s="33"/>
      <c r="AD857" s="33">
        <f>Ruimtestaat[[#This Row],[uren / jaar weekend]]*Tariefsopbouw!$D$40</f>
        <v>0</v>
      </c>
      <c r="AE857" s="86">
        <f>Ruimtestaat[[#This Row],[Prest. (m2 /jaar) weekend]]+Ruimtestaat[[#This Row],[Prest. (m2 /jaar) werkdagen]]</f>
        <v>0</v>
      </c>
      <c r="AF857" s="86">
        <f>Ruimtestaat[[#This Row],[uren / jaar weekend]]+Ruimtestaat[[#This Row],[uren / jaar werkdagen]]</f>
        <v>0</v>
      </c>
      <c r="AG857" s="87">
        <f>Ruimtestaat[[#This Row],[kosten / jaar weekend]]+Ruimtestaat[[#This Row],[kosten / jaar werkdagen]]</f>
        <v>0</v>
      </c>
    </row>
    <row r="858" spans="1:33" ht="15" customHeight="1">
      <c r="A858" s="187">
        <v>6</v>
      </c>
      <c r="B858" s="21" t="str">
        <f>VLOOKUP(Ruimtestaat[[#This Row],[Code]],Locaties[#All],2,FALSE)</f>
        <v>De Thij</v>
      </c>
      <c r="C858" s="247" t="str">
        <f>VLOOKUP(Ruimtestaat[[#This Row],[Code]],Locaties[#All],4,FALSE)</f>
        <v>Thijlaan 30</v>
      </c>
      <c r="D858" s="247" t="str">
        <f>VLOOKUP(Ruimtestaat[[#This Row],[Code]],Locaties[#All],5,FALSE)</f>
        <v>7576 ZB</v>
      </c>
      <c r="E858" s="187" t="str">
        <f>VLOOKUP(Ruimtestaat[[#This Row],[Code]],Locaties[#All],6,FALSE)</f>
        <v>Oldenzaal</v>
      </c>
      <c r="F858" s="248"/>
      <c r="G858" s="246">
        <v>2</v>
      </c>
      <c r="H858" s="246" t="s">
        <v>901</v>
      </c>
      <c r="I858" s="248" t="s">
        <v>658</v>
      </c>
      <c r="J858" s="187">
        <v>6</v>
      </c>
      <c r="K858" s="187" t="str">
        <f>VLOOKUP(Ruimtestaat[[#This Row],[Ruimte code]],Ruimtegroepen[#All],2,FALSE)</f>
        <v>Gangen/hallen</v>
      </c>
      <c r="L858" s="247" t="s">
        <v>677</v>
      </c>
      <c r="M858" s="246" t="s">
        <v>270</v>
      </c>
      <c r="N858" s="200">
        <v>54.9</v>
      </c>
      <c r="O858" s="200"/>
      <c r="P858" s="231" t="str">
        <f>VLOOKUP(Ruimtestaat[[#This Row],[Ruimte code]],Ruimtegroepen[#All],4,FALSE)</f>
        <v>V  (Verkeersruimte)</v>
      </c>
      <c r="Q858" s="201"/>
      <c r="R858" s="202">
        <v>42</v>
      </c>
      <c r="S858" s="202" t="s">
        <v>2</v>
      </c>
      <c r="T858" s="202">
        <f>IF(R858&gt;0,IF(RIGHT(Ruimtestaat[[#This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58" s="202">
        <f>IF(T858&gt;0,VLOOKUP($J858,Ruimtegroepen[],3,FALSE)*VLOOKUP($L858,Vloersoorten[],3,FALSE)*VLOOKUP($S858,Frequenties[],3,FALSE)*VLOOKUP($A858,Locaties[],3,FALSE),0)</f>
        <v>0</v>
      </c>
      <c r="V858" s="202">
        <f>Ruimtestaat[[#This Row],[Uitvoeringen werkdagen]]*Ruimtestaat[[#This Row],[Oppervlak (netto)]]</f>
        <v>11529</v>
      </c>
      <c r="W858" s="242">
        <f>IF(U858&gt;0,Ruimtestaat[[#This Row],[Prest. (m2 /jaar) werkdagen]]/Ruimtestaat[[#This Row],[Norm (m2/uur) werkdagen]],0)</f>
        <v>0</v>
      </c>
      <c r="X858" s="243">
        <f>Ruimtestaat[[#This Row],[uren / jaar werkdagen]]*Tariefsopbouw!$D$38</f>
        <v>0</v>
      </c>
      <c r="Y858" s="33"/>
      <c r="Z858" s="33">
        <f>IF(Ruimtestaat[[#This Row],[Frequentie weekend]]&gt;0,VALUE(LEFT(Y858,1))*R858,0)</f>
        <v>0</v>
      </c>
      <c r="AA858" s="33">
        <f>IF($Z858&gt;0,VLOOKUP($J858,Ruimtegroepen[],3,FALSE)*VLOOKUP($L858,Vloersoorten[],3,FALSE)*VLOOKUP($Y858,Frequenties[],3,FALSE)*VLOOKUP(#REF!,Locaties[],3,FALSE),0)</f>
        <v>0</v>
      </c>
      <c r="AB858" s="33"/>
      <c r="AC858" s="33"/>
      <c r="AD858" s="33">
        <f>Ruimtestaat[[#This Row],[uren / jaar weekend]]*Tariefsopbouw!$D$40</f>
        <v>0</v>
      </c>
      <c r="AE858" s="86">
        <f>Ruimtestaat[[#This Row],[Prest. (m2 /jaar) weekend]]+Ruimtestaat[[#This Row],[Prest. (m2 /jaar) werkdagen]]</f>
        <v>11529</v>
      </c>
      <c r="AF858" s="86">
        <f>Ruimtestaat[[#This Row],[uren / jaar weekend]]+Ruimtestaat[[#This Row],[uren / jaar werkdagen]]</f>
        <v>0</v>
      </c>
      <c r="AG858" s="87">
        <f>Ruimtestaat[[#This Row],[kosten / jaar weekend]]+Ruimtestaat[[#This Row],[kosten / jaar werkdagen]]</f>
        <v>0</v>
      </c>
    </row>
    <row r="859" spans="1:33" ht="15" customHeight="1">
      <c r="A859" s="187">
        <v>6</v>
      </c>
      <c r="B859" s="21" t="str">
        <f>VLOOKUP(Ruimtestaat[[#This Row],[Code]],Locaties[#All],2,FALSE)</f>
        <v>De Thij</v>
      </c>
      <c r="C859" s="247" t="str">
        <f>VLOOKUP(Ruimtestaat[[#This Row],[Code]],Locaties[#All],4,FALSE)</f>
        <v>Thijlaan 30</v>
      </c>
      <c r="D859" s="247" t="str">
        <f>VLOOKUP(Ruimtestaat[[#This Row],[Code]],Locaties[#All],5,FALSE)</f>
        <v>7576 ZB</v>
      </c>
      <c r="E859" s="187" t="str">
        <f>VLOOKUP(Ruimtestaat[[#This Row],[Code]],Locaties[#All],6,FALSE)</f>
        <v>Oldenzaal</v>
      </c>
      <c r="F859" s="248"/>
      <c r="G859" s="246">
        <v>2</v>
      </c>
      <c r="H859" s="246" t="s">
        <v>902</v>
      </c>
      <c r="I859" s="248" t="s">
        <v>480</v>
      </c>
      <c r="J859" s="187">
        <v>5</v>
      </c>
      <c r="K859" s="187" t="str">
        <f>VLOOKUP(Ruimtestaat[[#This Row],[Ruimte code]],Ruimtegroepen[#All],2,FALSE)</f>
        <v>Sanitair</v>
      </c>
      <c r="L859" s="202" t="s">
        <v>108</v>
      </c>
      <c r="M859" s="246" t="s">
        <v>1206</v>
      </c>
      <c r="N859" s="200">
        <v>62.41</v>
      </c>
      <c r="O859" s="200"/>
      <c r="P859" s="231" t="str">
        <f>VLOOKUP(Ruimtestaat[[#This Row],[Ruimte code]],Ruimtegroepen[#All],4,FALSE)</f>
        <v>S  (Sanitair)</v>
      </c>
      <c r="Q859" s="201"/>
      <c r="R859" s="202">
        <v>42</v>
      </c>
      <c r="S859" s="202" t="s">
        <v>19</v>
      </c>
      <c r="T859" s="202">
        <f>IF(R859&gt;0,IF(RIGHT(Ruimtestaat[[#This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859" s="202">
        <f>IF(T859&gt;0,VLOOKUP($J859,Ruimtegroepen[],3,FALSE)*VLOOKUP($L859,Vloersoorten[],3,FALSE)*VLOOKUP($S859,Frequenties[],3,FALSE)*VLOOKUP($A859,Locaties[],3,FALSE),0)</f>
        <v>0</v>
      </c>
      <c r="V859" s="202">
        <f>Ruimtestaat[[#This Row],[Uitvoeringen werkdagen]]*Ruimtestaat[[#This Row],[Oppervlak (netto)]]</f>
        <v>26212.199999999997</v>
      </c>
      <c r="W859" s="242">
        <f>IF(U859&gt;0,Ruimtestaat[[#This Row],[Prest. (m2 /jaar) werkdagen]]/Ruimtestaat[[#This Row],[Norm (m2/uur) werkdagen]],0)</f>
        <v>0</v>
      </c>
      <c r="X859" s="243">
        <f>Ruimtestaat[[#This Row],[uren / jaar werkdagen]]*Tariefsopbouw!$D$38</f>
        <v>0</v>
      </c>
      <c r="Y859" s="33"/>
      <c r="Z859" s="33">
        <f>IF(Ruimtestaat[[#This Row],[Frequentie weekend]]&gt;0,VALUE(LEFT(Y859,1))*R859,0)</f>
        <v>0</v>
      </c>
      <c r="AA859" s="33">
        <f>IF($Z859&gt;0,VLOOKUP($J859,Ruimtegroepen[],3,FALSE)*VLOOKUP($L859,Vloersoorten[],3,FALSE)*VLOOKUP($Y859,Frequenties[],3,FALSE)*VLOOKUP(#REF!,Locaties[],3,FALSE),0)</f>
        <v>0</v>
      </c>
      <c r="AB859" s="33"/>
      <c r="AC859" s="33"/>
      <c r="AD859" s="33">
        <f>Ruimtestaat[[#This Row],[uren / jaar weekend]]*Tariefsopbouw!$D$40</f>
        <v>0</v>
      </c>
      <c r="AE859" s="86">
        <f>Ruimtestaat[[#This Row],[Prest. (m2 /jaar) weekend]]+Ruimtestaat[[#This Row],[Prest. (m2 /jaar) werkdagen]]</f>
        <v>26212.199999999997</v>
      </c>
      <c r="AF859" s="86">
        <f>Ruimtestaat[[#This Row],[uren / jaar weekend]]+Ruimtestaat[[#This Row],[uren / jaar werkdagen]]</f>
        <v>0</v>
      </c>
      <c r="AG859" s="87">
        <f>Ruimtestaat[[#This Row],[kosten / jaar weekend]]+Ruimtestaat[[#This Row],[kosten / jaar werkdagen]]</f>
        <v>0</v>
      </c>
    </row>
    <row r="860" spans="1:33" ht="15" customHeight="1">
      <c r="A860" s="187">
        <v>6</v>
      </c>
      <c r="B860" s="21" t="str">
        <f>VLOOKUP(Ruimtestaat[[#This Row],[Code]],Locaties[#All],2,FALSE)</f>
        <v>De Thij</v>
      </c>
      <c r="C860" s="247" t="str">
        <f>VLOOKUP(Ruimtestaat[[#This Row],[Code]],Locaties[#All],4,FALSE)</f>
        <v>Thijlaan 30</v>
      </c>
      <c r="D860" s="247" t="str">
        <f>VLOOKUP(Ruimtestaat[[#This Row],[Code]],Locaties[#All],5,FALSE)</f>
        <v>7576 ZB</v>
      </c>
      <c r="E860" s="187" t="str">
        <f>VLOOKUP(Ruimtestaat[[#This Row],[Code]],Locaties[#All],6,FALSE)</f>
        <v>Oldenzaal</v>
      </c>
      <c r="F860" s="248"/>
      <c r="G860" s="246">
        <v>2</v>
      </c>
      <c r="H860" s="246" t="s">
        <v>902</v>
      </c>
      <c r="I860" s="248" t="s">
        <v>480</v>
      </c>
      <c r="J860" s="187">
        <v>5</v>
      </c>
      <c r="K860" s="187" t="str">
        <f>VLOOKUP(Ruimtestaat[[#This Row],[Ruimte code]],Ruimtegroepen[#All],2,FALSE)</f>
        <v>Sanitair</v>
      </c>
      <c r="L860" s="202" t="s">
        <v>108</v>
      </c>
      <c r="M860" s="246" t="s">
        <v>1206</v>
      </c>
      <c r="N860" s="200">
        <v>37.130000000000003</v>
      </c>
      <c r="O860" s="200"/>
      <c r="P860" s="231" t="str">
        <f>VLOOKUP(Ruimtestaat[[#This Row],[Ruimte code]],Ruimtegroepen[#All],4,FALSE)</f>
        <v>S  (Sanitair)</v>
      </c>
      <c r="Q860" s="201"/>
      <c r="R860" s="202">
        <v>42</v>
      </c>
      <c r="S860" s="202" t="s">
        <v>19</v>
      </c>
      <c r="T860" s="202">
        <f>IF(R860&gt;0,IF(RIGHT(Ruimtestaat[[#This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420</v>
      </c>
      <c r="U860" s="202">
        <f>IF(T860&gt;0,VLOOKUP($J860,Ruimtegroepen[],3,FALSE)*VLOOKUP($L860,Vloersoorten[],3,FALSE)*VLOOKUP($S860,Frequenties[],3,FALSE)*VLOOKUP($A860,Locaties[],3,FALSE),0)</f>
        <v>0</v>
      </c>
      <c r="V860" s="202">
        <f>Ruimtestaat[[#This Row],[Uitvoeringen werkdagen]]*Ruimtestaat[[#This Row],[Oppervlak (netto)]]</f>
        <v>15594.6</v>
      </c>
      <c r="W860" s="242">
        <f>IF(U860&gt;0,Ruimtestaat[[#This Row],[Prest. (m2 /jaar) werkdagen]]/Ruimtestaat[[#This Row],[Norm (m2/uur) werkdagen]],0)</f>
        <v>0</v>
      </c>
      <c r="X860" s="243">
        <f>Ruimtestaat[[#This Row],[uren / jaar werkdagen]]*Tariefsopbouw!$D$38</f>
        <v>0</v>
      </c>
      <c r="Y860" s="33"/>
      <c r="Z860" s="33">
        <f>IF(Ruimtestaat[[#This Row],[Frequentie weekend]]&gt;0,VALUE(LEFT(Y860,1))*R860,0)</f>
        <v>0</v>
      </c>
      <c r="AA860" s="33">
        <f>IF($Z860&gt;0,VLOOKUP($J860,Ruimtegroepen[],3,FALSE)*VLOOKUP($L860,Vloersoorten[],3,FALSE)*VLOOKUP($Y860,Frequenties[],3,FALSE)*VLOOKUP(#REF!,Locaties[],3,FALSE),0)</f>
        <v>0</v>
      </c>
      <c r="AB860" s="33"/>
      <c r="AC860" s="33"/>
      <c r="AD860" s="33">
        <f>Ruimtestaat[[#This Row],[uren / jaar weekend]]*Tariefsopbouw!$D$40</f>
        <v>0</v>
      </c>
      <c r="AE860" s="86">
        <f>Ruimtestaat[[#This Row],[Prest. (m2 /jaar) weekend]]+Ruimtestaat[[#This Row],[Prest. (m2 /jaar) werkdagen]]</f>
        <v>15594.6</v>
      </c>
      <c r="AF860" s="86">
        <f>Ruimtestaat[[#This Row],[uren / jaar weekend]]+Ruimtestaat[[#This Row],[uren / jaar werkdagen]]</f>
        <v>0</v>
      </c>
      <c r="AG860" s="87">
        <f>Ruimtestaat[[#This Row],[kosten / jaar weekend]]+Ruimtestaat[[#This Row],[kosten / jaar werkdagen]]</f>
        <v>0</v>
      </c>
    </row>
    <row r="861" spans="1:33" ht="15" customHeight="1">
      <c r="A861" s="187">
        <v>6</v>
      </c>
      <c r="B861" s="21" t="str">
        <f>VLOOKUP(Ruimtestaat[[#This Row],[Code]],Locaties[#All],2,FALSE)</f>
        <v>De Thij</v>
      </c>
      <c r="C861" s="247" t="str">
        <f>VLOOKUP(Ruimtestaat[[#This Row],[Code]],Locaties[#All],4,FALSE)</f>
        <v>Thijlaan 30</v>
      </c>
      <c r="D861" s="247" t="str">
        <f>VLOOKUP(Ruimtestaat[[#This Row],[Code]],Locaties[#All],5,FALSE)</f>
        <v>7576 ZB</v>
      </c>
      <c r="E861" s="187" t="str">
        <f>VLOOKUP(Ruimtestaat[[#This Row],[Code]],Locaties[#All],6,FALSE)</f>
        <v>Oldenzaal</v>
      </c>
      <c r="F861" s="248"/>
      <c r="G861" s="246">
        <v>2</v>
      </c>
      <c r="H861" s="246" t="s">
        <v>903</v>
      </c>
      <c r="I861" s="248" t="s">
        <v>658</v>
      </c>
      <c r="J861" s="187">
        <v>6</v>
      </c>
      <c r="K861" s="187" t="str">
        <f>VLOOKUP(Ruimtestaat[[#This Row],[Ruimte code]],Ruimtegroepen[#All],2,FALSE)</f>
        <v>Gangen/hallen</v>
      </c>
      <c r="L861" s="247" t="s">
        <v>677</v>
      </c>
      <c r="M861" s="246" t="s">
        <v>270</v>
      </c>
      <c r="N861" s="200">
        <v>131.13999999999999</v>
      </c>
      <c r="O861" s="200"/>
      <c r="P861" s="231" t="str">
        <f>VLOOKUP(Ruimtestaat[[#This Row],[Ruimte code]],Ruimtegroepen[#All],4,FALSE)</f>
        <v>V  (Verkeersruimte)</v>
      </c>
      <c r="Q861" s="201"/>
      <c r="R861" s="202">
        <v>42</v>
      </c>
      <c r="S861" s="202" t="s">
        <v>2</v>
      </c>
      <c r="T861" s="202">
        <f>IF(R861&gt;0,IF(RIGHT(Ruimtestaat[[#This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61" s="202">
        <f>IF(T861&gt;0,VLOOKUP($J861,Ruimtegroepen[],3,FALSE)*VLOOKUP($L861,Vloersoorten[],3,FALSE)*VLOOKUP($S861,Frequenties[],3,FALSE)*VLOOKUP($A861,Locaties[],3,FALSE),0)</f>
        <v>0</v>
      </c>
      <c r="V861" s="202">
        <f>Ruimtestaat[[#This Row],[Uitvoeringen werkdagen]]*Ruimtestaat[[#This Row],[Oppervlak (netto)]]</f>
        <v>27539.399999999998</v>
      </c>
      <c r="W861" s="242">
        <f>IF(U861&gt;0,Ruimtestaat[[#This Row],[Prest. (m2 /jaar) werkdagen]]/Ruimtestaat[[#This Row],[Norm (m2/uur) werkdagen]],0)</f>
        <v>0</v>
      </c>
      <c r="X861" s="243">
        <f>Ruimtestaat[[#This Row],[uren / jaar werkdagen]]*Tariefsopbouw!$D$38</f>
        <v>0</v>
      </c>
      <c r="Y861" s="33"/>
      <c r="Z861" s="33">
        <f>IF(Ruimtestaat[[#This Row],[Frequentie weekend]]&gt;0,VALUE(LEFT(Y861,1))*R861,0)</f>
        <v>0</v>
      </c>
      <c r="AA861" s="33">
        <f>IF($Z861&gt;0,VLOOKUP($J861,Ruimtegroepen[],3,FALSE)*VLOOKUP($L861,Vloersoorten[],3,FALSE)*VLOOKUP($Y861,Frequenties[],3,FALSE)*VLOOKUP(#REF!,Locaties[],3,FALSE),0)</f>
        <v>0</v>
      </c>
      <c r="AB861" s="33"/>
      <c r="AC861" s="33"/>
      <c r="AD861" s="33">
        <f>Ruimtestaat[[#This Row],[uren / jaar weekend]]*Tariefsopbouw!$D$40</f>
        <v>0</v>
      </c>
      <c r="AE861" s="86">
        <f>Ruimtestaat[[#This Row],[Prest. (m2 /jaar) weekend]]+Ruimtestaat[[#This Row],[Prest. (m2 /jaar) werkdagen]]</f>
        <v>27539.399999999998</v>
      </c>
      <c r="AF861" s="86">
        <f>Ruimtestaat[[#This Row],[uren / jaar weekend]]+Ruimtestaat[[#This Row],[uren / jaar werkdagen]]</f>
        <v>0</v>
      </c>
      <c r="AG861" s="87">
        <f>Ruimtestaat[[#This Row],[kosten / jaar weekend]]+Ruimtestaat[[#This Row],[kosten / jaar werkdagen]]</f>
        <v>0</v>
      </c>
    </row>
    <row r="862" spans="1:33" ht="15" customHeight="1">
      <c r="A862" s="187">
        <v>6</v>
      </c>
      <c r="B862" s="21" t="str">
        <f>VLOOKUP(Ruimtestaat[[#This Row],[Code]],Locaties[#All],2,FALSE)</f>
        <v>De Thij</v>
      </c>
      <c r="C862" s="247" t="str">
        <f>VLOOKUP(Ruimtestaat[[#This Row],[Code]],Locaties[#All],4,FALSE)</f>
        <v>Thijlaan 30</v>
      </c>
      <c r="D862" s="247" t="str">
        <f>VLOOKUP(Ruimtestaat[[#This Row],[Code]],Locaties[#All],5,FALSE)</f>
        <v>7576 ZB</v>
      </c>
      <c r="E862" s="187" t="str">
        <f>VLOOKUP(Ruimtestaat[[#This Row],[Code]],Locaties[#All],6,FALSE)</f>
        <v>Oldenzaal</v>
      </c>
      <c r="F862" s="248"/>
      <c r="G862" s="246">
        <v>2</v>
      </c>
      <c r="H862" s="246" t="s">
        <v>904</v>
      </c>
      <c r="I862" s="248" t="s">
        <v>596</v>
      </c>
      <c r="J862" s="187">
        <v>10</v>
      </c>
      <c r="K862" s="187" t="str">
        <f>VLOOKUP(Ruimtestaat[[#This Row],[Ruimte code]],Ruimtegroepen[#All],2,FALSE)</f>
        <v>Trappenhuizen/lift</v>
      </c>
      <c r="L862" s="247" t="s">
        <v>677</v>
      </c>
      <c r="M862" s="246" t="s">
        <v>270</v>
      </c>
      <c r="N862" s="200">
        <v>50</v>
      </c>
      <c r="O862" s="200"/>
      <c r="P862" s="231" t="str">
        <f>VLOOKUP(Ruimtestaat[[#This Row],[Ruimte code]],Ruimtegroepen[#All],4,FALSE)</f>
        <v>V  (Verkeersruimte)</v>
      </c>
      <c r="Q862" s="201"/>
      <c r="R862" s="202">
        <v>42</v>
      </c>
      <c r="S862" s="202" t="s">
        <v>2</v>
      </c>
      <c r="T862" s="202">
        <f>IF(R862&gt;0,IF(RIGHT(Ruimtestaat[[#This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62" s="202">
        <f>IF(T862&gt;0,VLOOKUP($J862,Ruimtegroepen[],3,FALSE)*VLOOKUP($L862,Vloersoorten[],3,FALSE)*VLOOKUP($S862,Frequenties[],3,FALSE)*VLOOKUP($A862,Locaties[],3,FALSE),0)</f>
        <v>0</v>
      </c>
      <c r="V862" s="202">
        <f>Ruimtestaat[[#This Row],[Uitvoeringen werkdagen]]*Ruimtestaat[[#This Row],[Oppervlak (netto)]]</f>
        <v>10500</v>
      </c>
      <c r="W862" s="242">
        <f>IF(U862&gt;0,Ruimtestaat[[#This Row],[Prest. (m2 /jaar) werkdagen]]/Ruimtestaat[[#This Row],[Norm (m2/uur) werkdagen]],0)</f>
        <v>0</v>
      </c>
      <c r="X862" s="243">
        <f>Ruimtestaat[[#This Row],[uren / jaar werkdagen]]*Tariefsopbouw!$D$38</f>
        <v>0</v>
      </c>
      <c r="Y862" s="33"/>
      <c r="Z862" s="33">
        <f>IF(Ruimtestaat[[#This Row],[Frequentie weekend]]&gt;0,VALUE(LEFT(Y862,1))*R862,0)</f>
        <v>0</v>
      </c>
      <c r="AA862" s="33">
        <f>IF($Z862&gt;0,VLOOKUP($J862,Ruimtegroepen[],3,FALSE)*VLOOKUP($L862,Vloersoorten[],3,FALSE)*VLOOKUP($Y862,Frequenties[],3,FALSE)*VLOOKUP(#REF!,Locaties[],3,FALSE),0)</f>
        <v>0</v>
      </c>
      <c r="AB862" s="33"/>
      <c r="AC862" s="33"/>
      <c r="AD862" s="33">
        <f>Ruimtestaat[[#This Row],[uren / jaar weekend]]*Tariefsopbouw!$D$40</f>
        <v>0</v>
      </c>
      <c r="AE862" s="86">
        <f>Ruimtestaat[[#This Row],[Prest. (m2 /jaar) weekend]]+Ruimtestaat[[#This Row],[Prest. (m2 /jaar) werkdagen]]</f>
        <v>10500</v>
      </c>
      <c r="AF862" s="86">
        <f>Ruimtestaat[[#This Row],[uren / jaar weekend]]+Ruimtestaat[[#This Row],[uren / jaar werkdagen]]</f>
        <v>0</v>
      </c>
      <c r="AG862" s="87">
        <f>Ruimtestaat[[#This Row],[kosten / jaar weekend]]+Ruimtestaat[[#This Row],[kosten / jaar werkdagen]]</f>
        <v>0</v>
      </c>
    </row>
    <row r="863" spans="1:33" ht="15" customHeight="1">
      <c r="A863" s="187">
        <v>6</v>
      </c>
      <c r="B863" s="21" t="str">
        <f>VLOOKUP(Ruimtestaat[[#This Row],[Code]],Locaties[#All],2,FALSE)</f>
        <v>De Thij</v>
      </c>
      <c r="C863" s="247" t="str">
        <f>VLOOKUP(Ruimtestaat[[#This Row],[Code]],Locaties[#All],4,FALSE)</f>
        <v>Thijlaan 30</v>
      </c>
      <c r="D863" s="247" t="str">
        <f>VLOOKUP(Ruimtestaat[[#This Row],[Code]],Locaties[#All],5,FALSE)</f>
        <v>7576 ZB</v>
      </c>
      <c r="E863" s="187" t="str">
        <f>VLOOKUP(Ruimtestaat[[#This Row],[Code]],Locaties[#All],6,FALSE)</f>
        <v>Oldenzaal</v>
      </c>
      <c r="F863" s="248"/>
      <c r="G863" s="246">
        <v>2</v>
      </c>
      <c r="H863" s="246" t="s">
        <v>904</v>
      </c>
      <c r="I863" s="248" t="s">
        <v>658</v>
      </c>
      <c r="J863" s="247">
        <v>6</v>
      </c>
      <c r="K863" s="247" t="str">
        <f>VLOOKUP(Ruimtestaat[[#This Row],[Ruimte code]],Ruimtegroepen[#All],2,FALSE)</f>
        <v>Gangen/hallen</v>
      </c>
      <c r="L863" s="247" t="s">
        <v>677</v>
      </c>
      <c r="M863" s="246" t="s">
        <v>270</v>
      </c>
      <c r="N863" s="200">
        <v>100</v>
      </c>
      <c r="O863" s="200"/>
      <c r="P863" s="231" t="str">
        <f>VLOOKUP(Ruimtestaat[[#This Row],[Ruimte code]],Ruimtegroepen[#All],4,FALSE)</f>
        <v>V  (Verkeersruimte)</v>
      </c>
      <c r="Q863" s="201"/>
      <c r="R863" s="202">
        <v>42</v>
      </c>
      <c r="S863" s="202" t="s">
        <v>2</v>
      </c>
      <c r="T863" s="202">
        <f>IF(R863&gt;0,IF(RIGHT(Ruimtestaat[[#This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63" s="202">
        <f>IF(T863&gt;0,VLOOKUP($J863,Ruimtegroepen[],3,FALSE)*VLOOKUP($L863,Vloersoorten[],3,FALSE)*VLOOKUP($S863,Frequenties[],3,FALSE)*VLOOKUP($A863,Locaties[],3,FALSE),0)</f>
        <v>0</v>
      </c>
      <c r="V863" s="202">
        <f>Ruimtestaat[[#This Row],[Uitvoeringen werkdagen]]*Ruimtestaat[[#This Row],[Oppervlak (netto)]]</f>
        <v>21000</v>
      </c>
      <c r="W863" s="242">
        <f>IF(U863&gt;0,Ruimtestaat[[#This Row],[Prest. (m2 /jaar) werkdagen]]/Ruimtestaat[[#This Row],[Norm (m2/uur) werkdagen]],0)</f>
        <v>0</v>
      </c>
      <c r="X863" s="243">
        <f>Ruimtestaat[[#This Row],[uren / jaar werkdagen]]*Tariefsopbouw!$D$38</f>
        <v>0</v>
      </c>
      <c r="Y863" s="33"/>
      <c r="Z863" s="33">
        <f>IF(Ruimtestaat[[#This Row],[Frequentie weekend]]&gt;0,VALUE(LEFT(Y863,1))*R863,0)</f>
        <v>0</v>
      </c>
      <c r="AA863" s="33">
        <f>IF($Z863&gt;0,VLOOKUP($J863,Ruimtegroepen[],3,FALSE)*VLOOKUP($L863,Vloersoorten[],3,FALSE)*VLOOKUP($Y863,Frequenties[],3,FALSE)*VLOOKUP(#REF!,Locaties[],3,FALSE),0)</f>
        <v>0</v>
      </c>
      <c r="AB863" s="33"/>
      <c r="AC863" s="33"/>
      <c r="AD863" s="33">
        <f>Ruimtestaat[[#This Row],[uren / jaar weekend]]*Tariefsopbouw!$D$40</f>
        <v>0</v>
      </c>
      <c r="AE863" s="86">
        <f>Ruimtestaat[[#This Row],[Prest. (m2 /jaar) weekend]]+Ruimtestaat[[#This Row],[Prest. (m2 /jaar) werkdagen]]</f>
        <v>21000</v>
      </c>
      <c r="AF863" s="86">
        <f>Ruimtestaat[[#This Row],[uren / jaar weekend]]+Ruimtestaat[[#This Row],[uren / jaar werkdagen]]</f>
        <v>0</v>
      </c>
      <c r="AG863" s="87">
        <f>Ruimtestaat[[#This Row],[kosten / jaar weekend]]+Ruimtestaat[[#This Row],[kosten / jaar werkdagen]]</f>
        <v>0</v>
      </c>
    </row>
    <row r="864" spans="1:33" ht="15" customHeight="1">
      <c r="A864" s="187">
        <v>6</v>
      </c>
      <c r="B864" s="21" t="str">
        <f>VLOOKUP(Ruimtestaat[[#This Row],[Code]],Locaties[#All],2,FALSE)</f>
        <v>De Thij</v>
      </c>
      <c r="C864" s="247" t="str">
        <f>VLOOKUP(Ruimtestaat[[#This Row],[Code]],Locaties[#All],4,FALSE)</f>
        <v>Thijlaan 30</v>
      </c>
      <c r="D864" s="247" t="str">
        <f>VLOOKUP(Ruimtestaat[[#This Row],[Code]],Locaties[#All],5,FALSE)</f>
        <v>7576 ZB</v>
      </c>
      <c r="E864" s="187" t="str">
        <f>VLOOKUP(Ruimtestaat[[#This Row],[Code]],Locaties[#All],6,FALSE)</f>
        <v>Oldenzaal</v>
      </c>
      <c r="F864" s="248"/>
      <c r="G864" s="246">
        <v>2</v>
      </c>
      <c r="H864" s="246" t="s">
        <v>905</v>
      </c>
      <c r="I864" s="248" t="s">
        <v>658</v>
      </c>
      <c r="J864" s="187">
        <v>6</v>
      </c>
      <c r="K864" s="187" t="str">
        <f>VLOOKUP(Ruimtestaat[[#This Row],[Ruimte code]],Ruimtegroepen[#All],2,FALSE)</f>
        <v>Gangen/hallen</v>
      </c>
      <c r="L864" s="247" t="s">
        <v>677</v>
      </c>
      <c r="M864" s="246" t="s">
        <v>270</v>
      </c>
      <c r="N864" s="200">
        <v>100</v>
      </c>
      <c r="O864" s="200"/>
      <c r="P864" s="231" t="str">
        <f>VLOOKUP(Ruimtestaat[[#This Row],[Ruimte code]],Ruimtegroepen[#All],4,FALSE)</f>
        <v>V  (Verkeersruimte)</v>
      </c>
      <c r="Q864" s="201"/>
      <c r="R864" s="202">
        <v>42</v>
      </c>
      <c r="S864" s="202" t="s">
        <v>2</v>
      </c>
      <c r="T864" s="202">
        <f>IF(R864&gt;0,IF(RIGHT(Ruimtestaat[[#This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U864" s="202">
        <f>IF(T864&gt;0,VLOOKUP($J864,Ruimtegroepen[],3,FALSE)*VLOOKUP($L864,Vloersoorten[],3,FALSE)*VLOOKUP($S864,Frequenties[],3,FALSE)*VLOOKUP($A864,Locaties[],3,FALSE),0)</f>
        <v>0</v>
      </c>
      <c r="V864" s="202">
        <f>Ruimtestaat[[#This Row],[Uitvoeringen werkdagen]]*Ruimtestaat[[#This Row],[Oppervlak (netto)]]</f>
        <v>21000</v>
      </c>
      <c r="W864" s="242">
        <f>IF(U864&gt;0,Ruimtestaat[[#This Row],[Prest. (m2 /jaar) werkdagen]]/Ruimtestaat[[#This Row],[Norm (m2/uur) werkdagen]],0)</f>
        <v>0</v>
      </c>
      <c r="X864" s="243">
        <f>Ruimtestaat[[#This Row],[uren / jaar werkdagen]]*Tariefsopbouw!$D$38</f>
        <v>0</v>
      </c>
      <c r="Y864" s="33"/>
      <c r="Z864" s="33">
        <f>IF(Ruimtestaat[[#This Row],[Frequentie weekend]]&gt;0,VALUE(LEFT(Y864,1))*R864,0)</f>
        <v>0</v>
      </c>
      <c r="AA864" s="33">
        <f>IF($Z864&gt;0,VLOOKUP($J864,Ruimtegroepen[],3,FALSE)*VLOOKUP($L864,Vloersoorten[],3,FALSE)*VLOOKUP($Y864,Frequenties[],3,FALSE)*VLOOKUP(#REF!,Locaties[],3,FALSE),0)</f>
        <v>0</v>
      </c>
      <c r="AB864" s="33"/>
      <c r="AC864" s="33"/>
      <c r="AD864" s="33">
        <f>Ruimtestaat[[#This Row],[uren / jaar weekend]]*Tariefsopbouw!$D$40</f>
        <v>0</v>
      </c>
      <c r="AE864" s="86">
        <f>Ruimtestaat[[#This Row],[Prest. (m2 /jaar) weekend]]+Ruimtestaat[[#This Row],[Prest. (m2 /jaar) werkdagen]]</f>
        <v>21000</v>
      </c>
      <c r="AF864" s="86">
        <f>Ruimtestaat[[#This Row],[uren / jaar weekend]]+Ruimtestaat[[#This Row],[uren / jaar werkdagen]]</f>
        <v>0</v>
      </c>
      <c r="AG864" s="87">
        <f>Ruimtestaat[[#This Row],[kosten / jaar weekend]]+Ruimtestaat[[#This Row],[kosten / jaar werkdagen]]</f>
        <v>0</v>
      </c>
    </row>
    <row r="865" spans="1:33" ht="15" customHeight="1">
      <c r="A865" s="187">
        <v>7</v>
      </c>
      <c r="B865" s="187" t="str">
        <f>VLOOKUP(Ruimtestaat[[#This Row],[Code]],Locaties[#All],2,FALSE)</f>
        <v>Bestuursbureau</v>
      </c>
      <c r="C865" s="231" t="str">
        <f>VLOOKUP(Ruimtestaat[[#This Row],[Code]],Locaties[#All],4,FALSE)</f>
        <v>Drienerparkweg 16</v>
      </c>
      <c r="D865" s="231" t="str">
        <f>VLOOKUP(Ruimtestaat[[#This Row],[Code]],Locaties[#All],5,FALSE)</f>
        <v>7552 EB</v>
      </c>
      <c r="E865" s="187" t="str">
        <f>VLOOKUP(Ruimtestaat[[#This Row],[Code]],Locaties[#All],6,FALSE)</f>
        <v>Hengelo</v>
      </c>
      <c r="F865" s="232"/>
      <c r="G865" s="187" t="s">
        <v>1304</v>
      </c>
      <c r="H865" s="187" t="s">
        <v>1308</v>
      </c>
      <c r="I865" s="232" t="s">
        <v>589</v>
      </c>
      <c r="J865" s="231">
        <v>7</v>
      </c>
      <c r="K865" s="231" t="str">
        <f>VLOOKUP(Ruimtestaat[[#This Row],[Ruimte code]],Ruimtegroepen[#All],2,FALSE)</f>
        <v>Entree / buitenentree</v>
      </c>
      <c r="L865" s="231" t="s">
        <v>1204</v>
      </c>
      <c r="M865" s="187" t="s">
        <v>1205</v>
      </c>
      <c r="N865" s="251">
        <v>3.08</v>
      </c>
      <c r="O865" s="200"/>
      <c r="P865" s="231" t="str">
        <f>VLOOKUP(Ruimtestaat[[#This Row],[Ruimte code]],Ruimtegroepen[#All],4,FALSE)</f>
        <v>V  (Verkeersruimte)</v>
      </c>
      <c r="Q865" s="201"/>
      <c r="R865" s="202">
        <v>51</v>
      </c>
      <c r="S865" s="202" t="s">
        <v>2</v>
      </c>
      <c r="T865" s="202">
        <f>IF(R865&gt;0,IF(RIGHT(Ruimtestaat[[#This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255</v>
      </c>
      <c r="U865" s="202">
        <f>IF(T865&gt;0,VLOOKUP($J865,Ruimtegroepen[],3,FALSE)*VLOOKUP($L865,Vloersoorten[],3,FALSE)*VLOOKUP($S865,Frequenties[],3,FALSE)*VLOOKUP($A865,Locaties[],3,FALSE),0)</f>
        <v>0</v>
      </c>
      <c r="V865" s="202">
        <f>Ruimtestaat[[#This Row],[Uitvoeringen werkdagen]]*Ruimtestaat[[#This Row],[Oppervlak (netto)]]</f>
        <v>785.4</v>
      </c>
      <c r="W865" s="242">
        <f>IF(U865&gt;0,Ruimtestaat[[#This Row],[Prest. (m2 /jaar) werkdagen]]/Ruimtestaat[[#This Row],[Norm (m2/uur) werkdagen]],0)</f>
        <v>0</v>
      </c>
      <c r="X865" s="243">
        <f>Ruimtestaat[[#This Row],[uren / jaar werkdagen]]*Tariefsopbouw!$D$38</f>
        <v>0</v>
      </c>
      <c r="Y865" s="33"/>
      <c r="Z865" s="33">
        <f>IF(Ruimtestaat[[#This Row],[Frequentie weekend]]&gt;0,VALUE(LEFT(Y865,1))*R865,0)</f>
        <v>0</v>
      </c>
      <c r="AA865" s="33">
        <f>IF($Z865&gt;0,VLOOKUP($J865,Ruimtegroepen[],3,FALSE)*VLOOKUP($L865,Vloersoorten[],3,FALSE)*VLOOKUP($Y865,Frequenties[],3,FALSE)*VLOOKUP(#REF!,Locaties[],3,FALSE),0)</f>
        <v>0</v>
      </c>
      <c r="AB865" s="33"/>
      <c r="AC865" s="33"/>
      <c r="AD865" s="33">
        <f>Ruimtestaat[[#This Row],[uren / jaar weekend]]*Tariefsopbouw!$D$40</f>
        <v>0</v>
      </c>
      <c r="AE865" s="86">
        <f>Ruimtestaat[[#This Row],[Prest. (m2 /jaar) weekend]]+Ruimtestaat[[#This Row],[Prest. (m2 /jaar) werkdagen]]</f>
        <v>785.4</v>
      </c>
      <c r="AF865" s="86">
        <f>Ruimtestaat[[#This Row],[uren / jaar weekend]]+Ruimtestaat[[#This Row],[uren / jaar werkdagen]]</f>
        <v>0</v>
      </c>
      <c r="AG865" s="87">
        <f>Ruimtestaat[[#This Row],[kosten / jaar weekend]]+Ruimtestaat[[#This Row],[kosten / jaar werkdagen]]</f>
        <v>0</v>
      </c>
    </row>
    <row r="866" spans="1:33" ht="15" customHeight="1">
      <c r="A866" s="187">
        <v>7</v>
      </c>
      <c r="B866" s="187" t="str">
        <f>VLOOKUP(Ruimtestaat[[#This Row],[Code]],Locaties[#All],2,FALSE)</f>
        <v>Bestuursbureau</v>
      </c>
      <c r="C866" s="231" t="str">
        <f>VLOOKUP(Ruimtestaat[[#This Row],[Code]],Locaties[#All],4,FALSE)</f>
        <v>Drienerparkweg 16</v>
      </c>
      <c r="D866" s="231" t="str">
        <f>VLOOKUP(Ruimtestaat[[#This Row],[Code]],Locaties[#All],5,FALSE)</f>
        <v>7552 EB</v>
      </c>
      <c r="E866" s="187" t="str">
        <f>VLOOKUP(Ruimtestaat[[#This Row],[Code]],Locaties[#All],6,FALSE)</f>
        <v>Hengelo</v>
      </c>
      <c r="F866" s="232"/>
      <c r="G866" s="187" t="s">
        <v>1304</v>
      </c>
      <c r="H866" s="187" t="s">
        <v>1309</v>
      </c>
      <c r="I866" s="232" t="s">
        <v>539</v>
      </c>
      <c r="J866" s="231">
        <v>15</v>
      </c>
      <c r="K866" s="231" t="str">
        <f>VLOOKUP(Ruimtestaat[[#This Row],[Ruimte code]],Ruimtegroepen[#All],2,FALSE)</f>
        <v>Keuken/pantry/rookruimte</v>
      </c>
      <c r="L866" s="231" t="s">
        <v>108</v>
      </c>
      <c r="M866" s="187" t="s">
        <v>1206</v>
      </c>
      <c r="N866" s="251">
        <v>18.12</v>
      </c>
      <c r="O866" s="200"/>
      <c r="P866" s="231" t="str">
        <f>VLOOKUP(Ruimtestaat[[#This Row],[Ruimte code]],Ruimtegroepen[#All],4,FALSE)</f>
        <v>V  (Verkeersruimte)</v>
      </c>
      <c r="Q866" s="201"/>
      <c r="R866" s="202">
        <v>51</v>
      </c>
      <c r="S866" s="202" t="s">
        <v>2</v>
      </c>
      <c r="T866" s="202">
        <f>IF(R866&gt;0,IF(RIGHT(Ruimtestaat[[#This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255</v>
      </c>
      <c r="U866" s="202">
        <f>IF(T866&gt;0,VLOOKUP($J866,Ruimtegroepen[],3,FALSE)*VLOOKUP($L866,Vloersoorten[],3,FALSE)*VLOOKUP($S866,Frequenties[],3,FALSE)*VLOOKUP($A866,Locaties[],3,FALSE),0)</f>
        <v>0</v>
      </c>
      <c r="V866" s="202">
        <f>Ruimtestaat[[#This Row],[Uitvoeringen werkdagen]]*Ruimtestaat[[#This Row],[Oppervlak (netto)]]</f>
        <v>4620.6000000000004</v>
      </c>
      <c r="W866" s="242">
        <f>IF(U866&gt;0,Ruimtestaat[[#This Row],[Prest. (m2 /jaar) werkdagen]]/Ruimtestaat[[#This Row],[Norm (m2/uur) werkdagen]],0)</f>
        <v>0</v>
      </c>
      <c r="X866" s="243">
        <f>Ruimtestaat[[#This Row],[uren / jaar werkdagen]]*Tariefsopbouw!$D$38</f>
        <v>0</v>
      </c>
      <c r="Y866" s="33"/>
      <c r="Z866" s="33">
        <f>IF(Ruimtestaat[[#This Row],[Frequentie weekend]]&gt;0,VALUE(LEFT(Y866,1))*R866,0)</f>
        <v>0</v>
      </c>
      <c r="AA866" s="33">
        <f>IF($Z866&gt;0,VLOOKUP($J866,Ruimtegroepen[],3,FALSE)*VLOOKUP($L866,Vloersoorten[],3,FALSE)*VLOOKUP($Y866,Frequenties[],3,FALSE)*VLOOKUP(#REF!,Locaties[],3,FALSE),0)</f>
        <v>0</v>
      </c>
      <c r="AB866" s="33"/>
      <c r="AC866" s="33"/>
      <c r="AD866" s="33">
        <f>Ruimtestaat[[#This Row],[uren / jaar weekend]]*Tariefsopbouw!$D$40</f>
        <v>0</v>
      </c>
      <c r="AE866" s="86">
        <f>Ruimtestaat[[#This Row],[Prest. (m2 /jaar) weekend]]+Ruimtestaat[[#This Row],[Prest. (m2 /jaar) werkdagen]]</f>
        <v>4620.6000000000004</v>
      </c>
      <c r="AF866" s="86">
        <f>Ruimtestaat[[#This Row],[uren / jaar weekend]]+Ruimtestaat[[#This Row],[uren / jaar werkdagen]]</f>
        <v>0</v>
      </c>
      <c r="AG866" s="87">
        <f>Ruimtestaat[[#This Row],[kosten / jaar weekend]]+Ruimtestaat[[#This Row],[kosten / jaar werkdagen]]</f>
        <v>0</v>
      </c>
    </row>
    <row r="867" spans="1:33" ht="15" customHeight="1">
      <c r="A867" s="187">
        <v>7</v>
      </c>
      <c r="B867" s="187" t="str">
        <f>VLOOKUP(Ruimtestaat[[#This Row],[Code]],Locaties[#All],2,FALSE)</f>
        <v>Bestuursbureau</v>
      </c>
      <c r="C867" s="231" t="str">
        <f>VLOOKUP(Ruimtestaat[[#This Row],[Code]],Locaties[#All],4,FALSE)</f>
        <v>Drienerparkweg 16</v>
      </c>
      <c r="D867" s="231" t="str">
        <f>VLOOKUP(Ruimtestaat[[#This Row],[Code]],Locaties[#All],5,FALSE)</f>
        <v>7552 EB</v>
      </c>
      <c r="E867" s="187" t="str">
        <f>VLOOKUP(Ruimtestaat[[#This Row],[Code]],Locaties[#All],6,FALSE)</f>
        <v>Hengelo</v>
      </c>
      <c r="F867" s="232"/>
      <c r="G867" s="187" t="s">
        <v>1304</v>
      </c>
      <c r="H867" s="187" t="s">
        <v>1310</v>
      </c>
      <c r="I867" s="232" t="s">
        <v>1311</v>
      </c>
      <c r="J867" s="231">
        <v>20</v>
      </c>
      <c r="K867" s="231" t="str">
        <f>VLOOKUP(Ruimtestaat[[#This Row],[Ruimte code]],Ruimtegroepen[#All],2,FALSE)</f>
        <v>Niet in onderhoud</v>
      </c>
      <c r="L867" s="231"/>
      <c r="M867" s="187"/>
      <c r="N867" s="251">
        <v>3.15</v>
      </c>
      <c r="O867" s="200"/>
      <c r="P867" s="231" t="str">
        <f>VLOOKUP(Ruimtestaat[[#This Row],[Ruimte code]],Ruimtegroepen[#All],4,FALSE)</f>
        <v>V  (Verkeersruimte)</v>
      </c>
      <c r="Q867" s="201"/>
      <c r="R867" s="202"/>
      <c r="S867" s="202"/>
      <c r="T867" s="202">
        <f>IF(R867&gt;0,IF(RIGHT(Ruimtestaat[[#This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867" s="202">
        <f>IF(T867&gt;0,VLOOKUP($J867,Ruimtegroepen[],3,FALSE)*VLOOKUP($L867,Vloersoorten[],3,FALSE)*VLOOKUP($S867,Frequenties[],3,FALSE)*VLOOKUP($A867,Locaties[],3,FALSE),0)</f>
        <v>0</v>
      </c>
      <c r="V867" s="202">
        <f>Ruimtestaat[[#This Row],[Uitvoeringen werkdagen]]*Ruimtestaat[[#This Row],[Oppervlak (netto)]]</f>
        <v>0</v>
      </c>
      <c r="W867" s="242">
        <f>IF(U867&gt;0,Ruimtestaat[[#This Row],[Prest. (m2 /jaar) werkdagen]]/Ruimtestaat[[#This Row],[Norm (m2/uur) werkdagen]],0)</f>
        <v>0</v>
      </c>
      <c r="X867" s="243">
        <f>Ruimtestaat[[#This Row],[uren / jaar werkdagen]]*Tariefsopbouw!$D$38</f>
        <v>0</v>
      </c>
      <c r="Y867" s="33"/>
      <c r="Z867" s="33">
        <f>IF(Ruimtestaat[[#This Row],[Frequentie weekend]]&gt;0,VALUE(LEFT(Y867,1))*R867,0)</f>
        <v>0</v>
      </c>
      <c r="AA867" s="33">
        <f>IF($Z867&gt;0,VLOOKUP($J867,Ruimtegroepen[],3,FALSE)*VLOOKUP($L867,Vloersoorten[],3,FALSE)*VLOOKUP($Y867,Frequenties[],3,FALSE)*VLOOKUP(#REF!,Locaties[],3,FALSE),0)</f>
        <v>0</v>
      </c>
      <c r="AB867" s="33"/>
      <c r="AC867" s="33"/>
      <c r="AD867" s="33">
        <f>Ruimtestaat[[#This Row],[uren / jaar weekend]]*Tariefsopbouw!$D$40</f>
        <v>0</v>
      </c>
      <c r="AE867" s="86">
        <f>Ruimtestaat[[#This Row],[Prest. (m2 /jaar) weekend]]+Ruimtestaat[[#This Row],[Prest. (m2 /jaar) werkdagen]]</f>
        <v>0</v>
      </c>
      <c r="AF867" s="86">
        <f>Ruimtestaat[[#This Row],[uren / jaar weekend]]+Ruimtestaat[[#This Row],[uren / jaar werkdagen]]</f>
        <v>0</v>
      </c>
      <c r="AG867" s="87">
        <f>Ruimtestaat[[#This Row],[kosten / jaar weekend]]+Ruimtestaat[[#This Row],[kosten / jaar werkdagen]]</f>
        <v>0</v>
      </c>
    </row>
    <row r="868" spans="1:33" ht="15" customHeight="1">
      <c r="A868" s="187">
        <v>7</v>
      </c>
      <c r="B868" s="187" t="str">
        <f>VLOOKUP(Ruimtestaat[[#This Row],[Code]],Locaties[#All],2,FALSE)</f>
        <v>Bestuursbureau</v>
      </c>
      <c r="C868" s="231" t="str">
        <f>VLOOKUP(Ruimtestaat[[#This Row],[Code]],Locaties[#All],4,FALSE)</f>
        <v>Drienerparkweg 16</v>
      </c>
      <c r="D868" s="231" t="str">
        <f>VLOOKUP(Ruimtestaat[[#This Row],[Code]],Locaties[#All],5,FALSE)</f>
        <v>7552 EB</v>
      </c>
      <c r="E868" s="187" t="str">
        <f>VLOOKUP(Ruimtestaat[[#This Row],[Code]],Locaties[#All],6,FALSE)</f>
        <v>Hengelo</v>
      </c>
      <c r="F868" s="232"/>
      <c r="G868" s="187" t="s">
        <v>1304</v>
      </c>
      <c r="H868" s="187" t="s">
        <v>1312</v>
      </c>
      <c r="I868" s="232" t="s">
        <v>1313</v>
      </c>
      <c r="J868" s="231">
        <v>5</v>
      </c>
      <c r="K868" s="231" t="str">
        <f>VLOOKUP(Ruimtestaat[[#This Row],[Ruimte code]],Ruimtegroepen[#All],2,FALSE)</f>
        <v>Sanitair</v>
      </c>
      <c r="L868" s="231" t="s">
        <v>108</v>
      </c>
      <c r="M868" s="187" t="s">
        <v>1201</v>
      </c>
      <c r="N868" s="251">
        <v>6.01</v>
      </c>
      <c r="O868" s="200"/>
      <c r="P868" s="231" t="str">
        <f>VLOOKUP(Ruimtestaat[[#This Row],[Ruimte code]],Ruimtegroepen[#All],4,FALSE)</f>
        <v>S  (Sanitair)</v>
      </c>
      <c r="Q868" s="201"/>
      <c r="R868" s="202">
        <v>51</v>
      </c>
      <c r="S868" s="202" t="s">
        <v>2</v>
      </c>
      <c r="T868" s="202">
        <f>IF(R868&gt;0,IF(RIGHT(Ruimtestaat[[#This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255</v>
      </c>
      <c r="U868" s="202">
        <f>IF(T868&gt;0,VLOOKUP($J868,Ruimtegroepen[],3,FALSE)*VLOOKUP($L868,Vloersoorten[],3,FALSE)*VLOOKUP($S868,Frequenties[],3,FALSE)*VLOOKUP($A868,Locaties[],3,FALSE),0)</f>
        <v>0</v>
      </c>
      <c r="V868" s="202">
        <f>Ruimtestaat[[#This Row],[Uitvoeringen werkdagen]]*Ruimtestaat[[#This Row],[Oppervlak (netto)]]</f>
        <v>1532.55</v>
      </c>
      <c r="W868" s="242">
        <f>IF(U868&gt;0,Ruimtestaat[[#This Row],[Prest. (m2 /jaar) werkdagen]]/Ruimtestaat[[#This Row],[Norm (m2/uur) werkdagen]],0)</f>
        <v>0</v>
      </c>
      <c r="X868" s="243">
        <f>Ruimtestaat[[#This Row],[uren / jaar werkdagen]]*Tariefsopbouw!$D$38</f>
        <v>0</v>
      </c>
      <c r="Y868" s="33"/>
      <c r="Z868" s="33">
        <f>IF(Ruimtestaat[[#This Row],[Frequentie weekend]]&gt;0,VALUE(LEFT(Y868,1))*R868,0)</f>
        <v>0</v>
      </c>
      <c r="AA868" s="33">
        <f>IF($Z868&gt;0,VLOOKUP($J868,Ruimtegroepen[],3,FALSE)*VLOOKUP($L868,Vloersoorten[],3,FALSE)*VLOOKUP($Y868,Frequenties[],3,FALSE)*VLOOKUP(#REF!,Locaties[],3,FALSE),0)</f>
        <v>0</v>
      </c>
      <c r="AB868" s="33"/>
      <c r="AC868" s="33"/>
      <c r="AD868" s="33">
        <f>Ruimtestaat[[#This Row],[uren / jaar weekend]]*Tariefsopbouw!$D$40</f>
        <v>0</v>
      </c>
      <c r="AE868" s="86">
        <f>Ruimtestaat[[#This Row],[Prest. (m2 /jaar) weekend]]+Ruimtestaat[[#This Row],[Prest. (m2 /jaar) werkdagen]]</f>
        <v>1532.55</v>
      </c>
      <c r="AF868" s="86">
        <f>Ruimtestaat[[#This Row],[uren / jaar weekend]]+Ruimtestaat[[#This Row],[uren / jaar werkdagen]]</f>
        <v>0</v>
      </c>
      <c r="AG868" s="87">
        <f>Ruimtestaat[[#This Row],[kosten / jaar weekend]]+Ruimtestaat[[#This Row],[kosten / jaar werkdagen]]</f>
        <v>0</v>
      </c>
    </row>
    <row r="869" spans="1:33" ht="15" customHeight="1">
      <c r="A869" s="187">
        <v>7</v>
      </c>
      <c r="B869" s="187" t="str">
        <f>VLOOKUP(Ruimtestaat[[#This Row],[Code]],Locaties[#All],2,FALSE)</f>
        <v>Bestuursbureau</v>
      </c>
      <c r="C869" s="231" t="str">
        <f>VLOOKUP(Ruimtestaat[[#This Row],[Code]],Locaties[#All],4,FALSE)</f>
        <v>Drienerparkweg 16</v>
      </c>
      <c r="D869" s="231" t="str">
        <f>VLOOKUP(Ruimtestaat[[#This Row],[Code]],Locaties[#All],5,FALSE)</f>
        <v>7552 EB</v>
      </c>
      <c r="E869" s="187" t="str">
        <f>VLOOKUP(Ruimtestaat[[#This Row],[Code]],Locaties[#All],6,FALSE)</f>
        <v>Hengelo</v>
      </c>
      <c r="F869" s="232"/>
      <c r="G869" s="187" t="s">
        <v>1304</v>
      </c>
      <c r="H869" s="187" t="s">
        <v>1314</v>
      </c>
      <c r="I869" s="232" t="s">
        <v>523</v>
      </c>
      <c r="J869" s="231">
        <v>1</v>
      </c>
      <c r="K869" s="231" t="str">
        <f>VLOOKUP(Ruimtestaat[[#This Row],[Ruimte code]],Ruimtegroepen[#All],2,FALSE)</f>
        <v>Magazijnen/bergingen</v>
      </c>
      <c r="L869" s="231" t="s">
        <v>1204</v>
      </c>
      <c r="M869" s="187" t="s">
        <v>1205</v>
      </c>
      <c r="N869" s="251">
        <v>4.5</v>
      </c>
      <c r="O869" s="200"/>
      <c r="P869" s="231" t="str">
        <f>VLOOKUP(Ruimtestaat[[#This Row],[Ruimte code]],Ruimtegroepen[#All],4,FALSE)</f>
        <v>V  (Verkeersruimte)</v>
      </c>
      <c r="Q869" s="201"/>
      <c r="R869" s="202">
        <v>51</v>
      </c>
      <c r="S869" s="202" t="s">
        <v>16</v>
      </c>
      <c r="T869" s="202">
        <f>IF(R869&gt;0,IF(RIGHT(Ruimtestaat[[#This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869" s="202">
        <f>IF(T869&gt;0,VLOOKUP($J869,Ruimtegroepen[],3,FALSE)*VLOOKUP($L869,Vloersoorten[],3,FALSE)*VLOOKUP($S869,Frequenties[],3,FALSE)*VLOOKUP($A869,Locaties[],3,FALSE),0)</f>
        <v>0</v>
      </c>
      <c r="V869" s="202">
        <f>Ruimtestaat[[#This Row],[Uitvoeringen werkdagen]]*Ruimtestaat[[#This Row],[Oppervlak (netto)]]</f>
        <v>54</v>
      </c>
      <c r="W869" s="242">
        <f>IF(U869&gt;0,Ruimtestaat[[#This Row],[Prest. (m2 /jaar) werkdagen]]/Ruimtestaat[[#This Row],[Norm (m2/uur) werkdagen]],0)</f>
        <v>0</v>
      </c>
      <c r="X869" s="243">
        <f>Ruimtestaat[[#This Row],[uren / jaar werkdagen]]*Tariefsopbouw!$D$38</f>
        <v>0</v>
      </c>
      <c r="Y869" s="33"/>
      <c r="Z869" s="33">
        <f>IF(Ruimtestaat[[#This Row],[Frequentie weekend]]&gt;0,VALUE(LEFT(Y869,1))*R869,0)</f>
        <v>0</v>
      </c>
      <c r="AA869" s="33">
        <f>IF($Z869&gt;0,VLOOKUP($J869,Ruimtegroepen[],3,FALSE)*VLOOKUP($L869,Vloersoorten[],3,FALSE)*VLOOKUP($Y869,Frequenties[],3,FALSE)*VLOOKUP(#REF!,Locaties[],3,FALSE),0)</f>
        <v>0</v>
      </c>
      <c r="AB869" s="33"/>
      <c r="AC869" s="33"/>
      <c r="AD869" s="33">
        <f>Ruimtestaat[[#This Row],[uren / jaar weekend]]*Tariefsopbouw!$D$40</f>
        <v>0</v>
      </c>
      <c r="AE869" s="86">
        <f>Ruimtestaat[[#This Row],[Prest. (m2 /jaar) weekend]]+Ruimtestaat[[#This Row],[Prest. (m2 /jaar) werkdagen]]</f>
        <v>54</v>
      </c>
      <c r="AF869" s="86">
        <f>Ruimtestaat[[#This Row],[uren / jaar weekend]]+Ruimtestaat[[#This Row],[uren / jaar werkdagen]]</f>
        <v>0</v>
      </c>
      <c r="AG869" s="87">
        <f>Ruimtestaat[[#This Row],[kosten / jaar weekend]]+Ruimtestaat[[#This Row],[kosten / jaar werkdagen]]</f>
        <v>0</v>
      </c>
    </row>
    <row r="870" spans="1:33" ht="15" customHeight="1">
      <c r="A870" s="187">
        <v>7</v>
      </c>
      <c r="B870" s="187" t="str">
        <f>VLOOKUP(Ruimtestaat[[#This Row],[Code]],Locaties[#All],2,FALSE)</f>
        <v>Bestuursbureau</v>
      </c>
      <c r="C870" s="231" t="str">
        <f>VLOOKUP(Ruimtestaat[[#This Row],[Code]],Locaties[#All],4,FALSE)</f>
        <v>Drienerparkweg 16</v>
      </c>
      <c r="D870" s="231" t="str">
        <f>VLOOKUP(Ruimtestaat[[#This Row],[Code]],Locaties[#All],5,FALSE)</f>
        <v>7552 EB</v>
      </c>
      <c r="E870" s="187" t="str">
        <f>VLOOKUP(Ruimtestaat[[#This Row],[Code]],Locaties[#All],6,FALSE)</f>
        <v>Hengelo</v>
      </c>
      <c r="F870" s="232"/>
      <c r="G870" s="187" t="s">
        <v>1304</v>
      </c>
      <c r="H870" s="187" t="s">
        <v>1315</v>
      </c>
      <c r="I870" s="232" t="s">
        <v>674</v>
      </c>
      <c r="J870" s="231">
        <v>12</v>
      </c>
      <c r="K870" s="231" t="str">
        <f>VLOOKUP(Ruimtestaat[[#This Row],[Ruimte code]],Ruimtegroepen[#All],2,FALSE)</f>
        <v>Kantine/aula</v>
      </c>
      <c r="L870" s="231" t="s">
        <v>109</v>
      </c>
      <c r="M870" s="250" t="s">
        <v>1203</v>
      </c>
      <c r="N870" s="251">
        <v>127.88</v>
      </c>
      <c r="O870" s="200"/>
      <c r="P870" s="231" t="str">
        <f>VLOOKUP(Ruimtestaat[[#This Row],[Ruimte code]],Ruimtegroepen[#All],4,FALSE)</f>
        <v>V  (Verkeersruimte)</v>
      </c>
      <c r="Q870" s="201"/>
      <c r="R870" s="202">
        <v>51</v>
      </c>
      <c r="S870" s="202" t="s">
        <v>2</v>
      </c>
      <c r="T870" s="202">
        <f>IF(R870&gt;0,IF(RIGHT(Ruimtestaat[[#This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255</v>
      </c>
      <c r="U870" s="202">
        <f>IF(T870&gt;0,VLOOKUP($J870,Ruimtegroepen[],3,FALSE)*VLOOKUP($L870,Vloersoorten[],3,FALSE)*VLOOKUP($S870,Frequenties[],3,FALSE)*VLOOKUP($A870,Locaties[],3,FALSE),0)</f>
        <v>0</v>
      </c>
      <c r="V870" s="202">
        <f>Ruimtestaat[[#This Row],[Uitvoeringen werkdagen]]*Ruimtestaat[[#This Row],[Oppervlak (netto)]]</f>
        <v>32609.399999999998</v>
      </c>
      <c r="W870" s="242">
        <f>IF(U870&gt;0,Ruimtestaat[[#This Row],[Prest. (m2 /jaar) werkdagen]]/Ruimtestaat[[#This Row],[Norm (m2/uur) werkdagen]],0)</f>
        <v>0</v>
      </c>
      <c r="X870" s="243">
        <f>Ruimtestaat[[#This Row],[uren / jaar werkdagen]]*Tariefsopbouw!$D$38</f>
        <v>0</v>
      </c>
      <c r="Y870" s="33"/>
      <c r="Z870" s="33">
        <f>IF(Ruimtestaat[[#This Row],[Frequentie weekend]]&gt;0,VALUE(LEFT(Y870,1))*R870,0)</f>
        <v>0</v>
      </c>
      <c r="AA870" s="33">
        <f>IF($Z870&gt;0,VLOOKUP($J870,Ruimtegroepen[],3,FALSE)*VLOOKUP($L870,Vloersoorten[],3,FALSE)*VLOOKUP($Y870,Frequenties[],3,FALSE)*VLOOKUP(#REF!,Locaties[],3,FALSE),0)</f>
        <v>0</v>
      </c>
      <c r="AB870" s="33"/>
      <c r="AC870" s="33"/>
      <c r="AD870" s="33">
        <f>Ruimtestaat[[#This Row],[uren / jaar weekend]]*Tariefsopbouw!$D$40</f>
        <v>0</v>
      </c>
      <c r="AE870" s="86">
        <f>Ruimtestaat[[#This Row],[Prest. (m2 /jaar) weekend]]+Ruimtestaat[[#This Row],[Prest. (m2 /jaar) werkdagen]]</f>
        <v>32609.399999999998</v>
      </c>
      <c r="AF870" s="86">
        <f>Ruimtestaat[[#This Row],[uren / jaar weekend]]+Ruimtestaat[[#This Row],[uren / jaar werkdagen]]</f>
        <v>0</v>
      </c>
      <c r="AG870" s="87">
        <f>Ruimtestaat[[#This Row],[kosten / jaar weekend]]+Ruimtestaat[[#This Row],[kosten / jaar werkdagen]]</f>
        <v>0</v>
      </c>
    </row>
    <row r="871" spans="1:33" ht="15" customHeight="1">
      <c r="A871" s="187">
        <v>7</v>
      </c>
      <c r="B871" s="187" t="str">
        <f>VLOOKUP(Ruimtestaat[[#This Row],[Code]],Locaties[#All],2,FALSE)</f>
        <v>Bestuursbureau</v>
      </c>
      <c r="C871" s="231" t="str">
        <f>VLOOKUP(Ruimtestaat[[#This Row],[Code]],Locaties[#All],4,FALSE)</f>
        <v>Drienerparkweg 16</v>
      </c>
      <c r="D871" s="231" t="str">
        <f>VLOOKUP(Ruimtestaat[[#This Row],[Code]],Locaties[#All],5,FALSE)</f>
        <v>7552 EB</v>
      </c>
      <c r="E871" s="187" t="str">
        <f>VLOOKUP(Ruimtestaat[[#This Row],[Code]],Locaties[#All],6,FALSE)</f>
        <v>Hengelo</v>
      </c>
      <c r="F871" s="232"/>
      <c r="G871" s="187" t="s">
        <v>1304</v>
      </c>
      <c r="H871" s="187" t="s">
        <v>1316</v>
      </c>
      <c r="I871" s="232" t="s">
        <v>500</v>
      </c>
      <c r="J871" s="231">
        <v>10</v>
      </c>
      <c r="K871" s="231" t="str">
        <f>VLOOKUP(Ruimtestaat[[#This Row],[Ruimte code]],Ruimtegroepen[#All],2,FALSE)</f>
        <v>Trappenhuizen/lift</v>
      </c>
      <c r="L871" s="231" t="s">
        <v>1204</v>
      </c>
      <c r="M871" s="187" t="s">
        <v>1205</v>
      </c>
      <c r="N871" s="251">
        <v>3.52</v>
      </c>
      <c r="O871" s="200"/>
      <c r="P871" s="231" t="str">
        <f>VLOOKUP(Ruimtestaat[[#This Row],[Ruimte code]],Ruimtegroepen[#All],4,FALSE)</f>
        <v>V  (Verkeersruimte)</v>
      </c>
      <c r="Q871" s="201"/>
      <c r="R871" s="202">
        <v>51</v>
      </c>
      <c r="S871" s="202" t="s">
        <v>2</v>
      </c>
      <c r="T871" s="202">
        <f>IF(R871&gt;0,IF(RIGHT(Ruimtestaat[[#This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255</v>
      </c>
      <c r="U871" s="202">
        <f>IF(T871&gt;0,VLOOKUP($J871,Ruimtegroepen[],3,FALSE)*VLOOKUP($L871,Vloersoorten[],3,FALSE)*VLOOKUP($S871,Frequenties[],3,FALSE)*VLOOKUP($A871,Locaties[],3,FALSE),0)</f>
        <v>0</v>
      </c>
      <c r="V871" s="202">
        <f>Ruimtestaat[[#This Row],[Uitvoeringen werkdagen]]*Ruimtestaat[[#This Row],[Oppervlak (netto)]]</f>
        <v>897.6</v>
      </c>
      <c r="W871" s="242">
        <f>IF(U871&gt;0,Ruimtestaat[[#This Row],[Prest. (m2 /jaar) werkdagen]]/Ruimtestaat[[#This Row],[Norm (m2/uur) werkdagen]],0)</f>
        <v>0</v>
      </c>
      <c r="X871" s="243">
        <f>Ruimtestaat[[#This Row],[uren / jaar werkdagen]]*Tariefsopbouw!$D$38</f>
        <v>0</v>
      </c>
      <c r="Y871" s="33"/>
      <c r="Z871" s="33">
        <f>IF(Ruimtestaat[[#This Row],[Frequentie weekend]]&gt;0,VALUE(LEFT(Y871,1))*R871,0)</f>
        <v>0</v>
      </c>
      <c r="AA871" s="33">
        <f>IF($Z871&gt;0,VLOOKUP($J871,Ruimtegroepen[],3,FALSE)*VLOOKUP($L871,Vloersoorten[],3,FALSE)*VLOOKUP($Y871,Frequenties[],3,FALSE)*VLOOKUP(#REF!,Locaties[],3,FALSE),0)</f>
        <v>0</v>
      </c>
      <c r="AB871" s="33"/>
      <c r="AC871" s="33"/>
      <c r="AD871" s="33">
        <f>Ruimtestaat[[#This Row],[uren / jaar weekend]]*Tariefsopbouw!$D$40</f>
        <v>0</v>
      </c>
      <c r="AE871" s="86">
        <f>Ruimtestaat[[#This Row],[Prest. (m2 /jaar) weekend]]+Ruimtestaat[[#This Row],[Prest. (m2 /jaar) werkdagen]]</f>
        <v>897.6</v>
      </c>
      <c r="AF871" s="86">
        <f>Ruimtestaat[[#This Row],[uren / jaar weekend]]+Ruimtestaat[[#This Row],[uren / jaar werkdagen]]</f>
        <v>0</v>
      </c>
      <c r="AG871" s="87">
        <f>Ruimtestaat[[#This Row],[kosten / jaar weekend]]+Ruimtestaat[[#This Row],[kosten / jaar werkdagen]]</f>
        <v>0</v>
      </c>
    </row>
    <row r="872" spans="1:33" ht="15" customHeight="1">
      <c r="A872" s="187">
        <v>7</v>
      </c>
      <c r="B872" s="187" t="str">
        <f>VLOOKUP(Ruimtestaat[[#This Row],[Code]],Locaties[#All],2,FALSE)</f>
        <v>Bestuursbureau</v>
      </c>
      <c r="C872" s="231" t="str">
        <f>VLOOKUP(Ruimtestaat[[#This Row],[Code]],Locaties[#All],4,FALSE)</f>
        <v>Drienerparkweg 16</v>
      </c>
      <c r="D872" s="231" t="str">
        <f>VLOOKUP(Ruimtestaat[[#This Row],[Code]],Locaties[#All],5,FALSE)</f>
        <v>7552 EB</v>
      </c>
      <c r="E872" s="187" t="str">
        <f>VLOOKUP(Ruimtestaat[[#This Row],[Code]],Locaties[#All],6,FALSE)</f>
        <v>Hengelo</v>
      </c>
      <c r="F872" s="232"/>
      <c r="G872" s="187" t="s">
        <v>1304</v>
      </c>
      <c r="H872" s="187" t="s">
        <v>1317</v>
      </c>
      <c r="I872" s="232" t="s">
        <v>509</v>
      </c>
      <c r="J872" s="231">
        <v>5</v>
      </c>
      <c r="K872" s="231" t="str">
        <f>VLOOKUP(Ruimtestaat[[#This Row],[Ruimte code]],Ruimtegroepen[#All],2,FALSE)</f>
        <v>Sanitair</v>
      </c>
      <c r="L872" s="231" t="s">
        <v>108</v>
      </c>
      <c r="M872" s="187" t="s">
        <v>1206</v>
      </c>
      <c r="N872" s="251">
        <v>6.52</v>
      </c>
      <c r="O872" s="200"/>
      <c r="P872" s="231" t="str">
        <f>VLOOKUP(Ruimtestaat[[#This Row],[Ruimte code]],Ruimtegroepen[#All],4,FALSE)</f>
        <v>S  (Sanitair)</v>
      </c>
      <c r="Q872" s="201"/>
      <c r="R872" s="202">
        <v>51</v>
      </c>
      <c r="S872" s="202" t="s">
        <v>2</v>
      </c>
      <c r="T872" s="202">
        <f>IF(R872&gt;0,IF(RIGHT(Ruimtestaat[[#This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255</v>
      </c>
      <c r="U872" s="202">
        <f>IF(T872&gt;0,VLOOKUP($J872,Ruimtegroepen[],3,FALSE)*VLOOKUP($L872,Vloersoorten[],3,FALSE)*VLOOKUP($S872,Frequenties[],3,FALSE)*VLOOKUP($A872,Locaties[],3,FALSE),0)</f>
        <v>0</v>
      </c>
      <c r="V872" s="202">
        <f>Ruimtestaat[[#This Row],[Uitvoeringen werkdagen]]*Ruimtestaat[[#This Row],[Oppervlak (netto)]]</f>
        <v>1662.6</v>
      </c>
      <c r="W872" s="242">
        <f>IF(U872&gt;0,Ruimtestaat[[#This Row],[Prest. (m2 /jaar) werkdagen]]/Ruimtestaat[[#This Row],[Norm (m2/uur) werkdagen]],0)</f>
        <v>0</v>
      </c>
      <c r="X872" s="243">
        <f>Ruimtestaat[[#This Row],[uren / jaar werkdagen]]*Tariefsopbouw!$D$38</f>
        <v>0</v>
      </c>
      <c r="Y872" s="33"/>
      <c r="Z872" s="33">
        <f>IF(Ruimtestaat[[#This Row],[Frequentie weekend]]&gt;0,VALUE(LEFT(Y872,1))*R872,0)</f>
        <v>0</v>
      </c>
      <c r="AA872" s="33">
        <f>IF($Z872&gt;0,VLOOKUP($J872,Ruimtegroepen[],3,FALSE)*VLOOKUP($L872,Vloersoorten[],3,FALSE)*VLOOKUP($Y872,Frequenties[],3,FALSE)*VLOOKUP(#REF!,Locaties[],3,FALSE),0)</f>
        <v>0</v>
      </c>
      <c r="AB872" s="33"/>
      <c r="AC872" s="33"/>
      <c r="AD872" s="33">
        <f>Ruimtestaat[[#This Row],[uren / jaar weekend]]*Tariefsopbouw!$D$40</f>
        <v>0</v>
      </c>
      <c r="AE872" s="86">
        <f>Ruimtestaat[[#This Row],[Prest. (m2 /jaar) weekend]]+Ruimtestaat[[#This Row],[Prest. (m2 /jaar) werkdagen]]</f>
        <v>1662.6</v>
      </c>
      <c r="AF872" s="86">
        <f>Ruimtestaat[[#This Row],[uren / jaar weekend]]+Ruimtestaat[[#This Row],[uren / jaar werkdagen]]</f>
        <v>0</v>
      </c>
      <c r="AG872" s="87">
        <f>Ruimtestaat[[#This Row],[kosten / jaar weekend]]+Ruimtestaat[[#This Row],[kosten / jaar werkdagen]]</f>
        <v>0</v>
      </c>
    </row>
    <row r="873" spans="1:33" ht="15" customHeight="1">
      <c r="A873" s="187">
        <v>7</v>
      </c>
      <c r="B873" s="187" t="str">
        <f>VLOOKUP(Ruimtestaat[[#This Row],[Code]],Locaties[#All],2,FALSE)</f>
        <v>Bestuursbureau</v>
      </c>
      <c r="C873" s="231" t="str">
        <f>VLOOKUP(Ruimtestaat[[#This Row],[Code]],Locaties[#All],4,FALSE)</f>
        <v>Drienerparkweg 16</v>
      </c>
      <c r="D873" s="231" t="str">
        <f>VLOOKUP(Ruimtestaat[[#This Row],[Code]],Locaties[#All],5,FALSE)</f>
        <v>7552 EB</v>
      </c>
      <c r="E873" s="187" t="str">
        <f>VLOOKUP(Ruimtestaat[[#This Row],[Code]],Locaties[#All],6,FALSE)</f>
        <v>Hengelo</v>
      </c>
      <c r="F873" s="232"/>
      <c r="G873" s="187" t="s">
        <v>1304</v>
      </c>
      <c r="H873" s="187" t="s">
        <v>1318</v>
      </c>
      <c r="I873" s="232" t="s">
        <v>509</v>
      </c>
      <c r="J873" s="231">
        <v>5</v>
      </c>
      <c r="K873" s="231" t="str">
        <f>VLOOKUP(Ruimtestaat[[#This Row],[Ruimte code]],Ruimtegroepen[#All],2,FALSE)</f>
        <v>Sanitair</v>
      </c>
      <c r="L873" s="231" t="s">
        <v>108</v>
      </c>
      <c r="M873" s="187" t="s">
        <v>1206</v>
      </c>
      <c r="N873" s="251">
        <v>6.53</v>
      </c>
      <c r="O873" s="200"/>
      <c r="P873" s="231" t="str">
        <f>VLOOKUP(Ruimtestaat[[#This Row],[Ruimte code]],Ruimtegroepen[#All],4,FALSE)</f>
        <v>S  (Sanitair)</v>
      </c>
      <c r="Q873" s="201"/>
      <c r="R873" s="202">
        <v>51</v>
      </c>
      <c r="S873" s="202" t="s">
        <v>2</v>
      </c>
      <c r="T873" s="202">
        <f>IF(R873&gt;0,IF(RIGHT(Ruimtestaat[[#This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255</v>
      </c>
      <c r="U873" s="202">
        <f>IF(T873&gt;0,VLOOKUP($J873,Ruimtegroepen[],3,FALSE)*VLOOKUP($L873,Vloersoorten[],3,FALSE)*VLOOKUP($S873,Frequenties[],3,FALSE)*VLOOKUP($A873,Locaties[],3,FALSE),0)</f>
        <v>0</v>
      </c>
      <c r="V873" s="202">
        <f>Ruimtestaat[[#This Row],[Uitvoeringen werkdagen]]*Ruimtestaat[[#This Row],[Oppervlak (netto)]]</f>
        <v>1665.15</v>
      </c>
      <c r="W873" s="242">
        <f>IF(U873&gt;0,Ruimtestaat[[#This Row],[Prest. (m2 /jaar) werkdagen]]/Ruimtestaat[[#This Row],[Norm (m2/uur) werkdagen]],0)</f>
        <v>0</v>
      </c>
      <c r="X873" s="243">
        <f>Ruimtestaat[[#This Row],[uren / jaar werkdagen]]*Tariefsopbouw!$D$38</f>
        <v>0</v>
      </c>
      <c r="Y873" s="33"/>
      <c r="Z873" s="33">
        <f>IF(Ruimtestaat[[#This Row],[Frequentie weekend]]&gt;0,VALUE(LEFT(Y873,1))*R873,0)</f>
        <v>0</v>
      </c>
      <c r="AA873" s="33">
        <f>IF($Z873&gt;0,VLOOKUP($J873,Ruimtegroepen[],3,FALSE)*VLOOKUP($L873,Vloersoorten[],3,FALSE)*VLOOKUP($Y873,Frequenties[],3,FALSE)*VLOOKUP(#REF!,Locaties[],3,FALSE),0)</f>
        <v>0</v>
      </c>
      <c r="AB873" s="33"/>
      <c r="AC873" s="33"/>
      <c r="AD873" s="33">
        <f>Ruimtestaat[[#This Row],[uren / jaar weekend]]*Tariefsopbouw!$D$40</f>
        <v>0</v>
      </c>
      <c r="AE873" s="86">
        <f>Ruimtestaat[[#This Row],[Prest. (m2 /jaar) weekend]]+Ruimtestaat[[#This Row],[Prest. (m2 /jaar) werkdagen]]</f>
        <v>1665.15</v>
      </c>
      <c r="AF873" s="86">
        <f>Ruimtestaat[[#This Row],[uren / jaar weekend]]+Ruimtestaat[[#This Row],[uren / jaar werkdagen]]</f>
        <v>0</v>
      </c>
      <c r="AG873" s="87">
        <f>Ruimtestaat[[#This Row],[kosten / jaar weekend]]+Ruimtestaat[[#This Row],[kosten / jaar werkdagen]]</f>
        <v>0</v>
      </c>
    </row>
    <row r="874" spans="1:33" ht="15" customHeight="1">
      <c r="A874" s="187">
        <v>7</v>
      </c>
      <c r="B874" s="187" t="str">
        <f>VLOOKUP(Ruimtestaat[[#This Row],[Code]],Locaties[#All],2,FALSE)</f>
        <v>Bestuursbureau</v>
      </c>
      <c r="C874" s="231" t="str">
        <f>VLOOKUP(Ruimtestaat[[#This Row],[Code]],Locaties[#All],4,FALSE)</f>
        <v>Drienerparkweg 16</v>
      </c>
      <c r="D874" s="231" t="str">
        <f>VLOOKUP(Ruimtestaat[[#This Row],[Code]],Locaties[#All],5,FALSE)</f>
        <v>7552 EB</v>
      </c>
      <c r="E874" s="187" t="str">
        <f>VLOOKUP(Ruimtestaat[[#This Row],[Code]],Locaties[#All],6,FALSE)</f>
        <v>Hengelo</v>
      </c>
      <c r="F874" s="232"/>
      <c r="G874" s="187" t="s">
        <v>1304</v>
      </c>
      <c r="H874" s="187" t="s">
        <v>1319</v>
      </c>
      <c r="I874" s="232" t="s">
        <v>1320</v>
      </c>
      <c r="J874" s="231">
        <v>2</v>
      </c>
      <c r="K874" s="231" t="str">
        <f>VLOOKUP(Ruimtestaat[[#This Row],[Ruimte code]],Ruimtegroepen[#All],2,FALSE)</f>
        <v>Kantoren/kantoortuin</v>
      </c>
      <c r="L874" s="231" t="s">
        <v>1204</v>
      </c>
      <c r="M874" s="187" t="s">
        <v>1205</v>
      </c>
      <c r="N874" s="251">
        <v>8.4600000000000009</v>
      </c>
      <c r="O874" s="200"/>
      <c r="P874" s="231" t="str">
        <f>VLOOKUP(Ruimtestaat[[#This Row],[Ruimte code]],Ruimtegroepen[#All],4,FALSE)</f>
        <v>B  (Bureauruimte)</v>
      </c>
      <c r="Q874" s="201"/>
      <c r="R874" s="202">
        <v>51</v>
      </c>
      <c r="S874" s="202" t="s">
        <v>18</v>
      </c>
      <c r="T874" s="202">
        <f>IF(R874&gt;0,IF(RIGHT(Ruimtestaat[[#This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153</v>
      </c>
      <c r="U874" s="202">
        <f>IF(T874&gt;0,VLOOKUP($J874,Ruimtegroepen[],3,FALSE)*VLOOKUP($L874,Vloersoorten[],3,FALSE)*VLOOKUP($S874,Frequenties[],3,FALSE)*VLOOKUP($A874,Locaties[],3,FALSE),0)</f>
        <v>0</v>
      </c>
      <c r="V874" s="202">
        <f>Ruimtestaat[[#This Row],[Uitvoeringen werkdagen]]*Ruimtestaat[[#This Row],[Oppervlak (netto)]]</f>
        <v>1294.3800000000001</v>
      </c>
      <c r="W874" s="242">
        <f>IF(U874&gt;0,Ruimtestaat[[#This Row],[Prest. (m2 /jaar) werkdagen]]/Ruimtestaat[[#This Row],[Norm (m2/uur) werkdagen]],0)</f>
        <v>0</v>
      </c>
      <c r="X874" s="243">
        <f>Ruimtestaat[[#This Row],[uren / jaar werkdagen]]*Tariefsopbouw!$D$38</f>
        <v>0</v>
      </c>
      <c r="Y874" s="33"/>
      <c r="Z874" s="33">
        <f>IF(Ruimtestaat[[#This Row],[Frequentie weekend]]&gt;0,VALUE(LEFT(Y874,1))*R874,0)</f>
        <v>0</v>
      </c>
      <c r="AA874" s="33">
        <f>IF($Z874&gt;0,VLOOKUP($J874,Ruimtegroepen[],3,FALSE)*VLOOKUP($L874,Vloersoorten[],3,FALSE)*VLOOKUP($Y874,Frequenties[],3,FALSE)*VLOOKUP(#REF!,Locaties[],3,FALSE),0)</f>
        <v>0</v>
      </c>
      <c r="AB874" s="33"/>
      <c r="AC874" s="33"/>
      <c r="AD874" s="33">
        <f>Ruimtestaat[[#This Row],[uren / jaar weekend]]*Tariefsopbouw!$D$40</f>
        <v>0</v>
      </c>
      <c r="AE874" s="86">
        <f>Ruimtestaat[[#This Row],[Prest. (m2 /jaar) weekend]]+Ruimtestaat[[#This Row],[Prest. (m2 /jaar) werkdagen]]</f>
        <v>1294.3800000000001</v>
      </c>
      <c r="AF874" s="86">
        <f>Ruimtestaat[[#This Row],[uren / jaar weekend]]+Ruimtestaat[[#This Row],[uren / jaar werkdagen]]</f>
        <v>0</v>
      </c>
      <c r="AG874" s="87">
        <f>Ruimtestaat[[#This Row],[kosten / jaar weekend]]+Ruimtestaat[[#This Row],[kosten / jaar werkdagen]]</f>
        <v>0</v>
      </c>
    </row>
    <row r="875" spans="1:33" ht="15" customHeight="1">
      <c r="A875" s="187">
        <v>7</v>
      </c>
      <c r="B875" s="187" t="str">
        <f>VLOOKUP(Ruimtestaat[[#This Row],[Code]],Locaties[#All],2,FALSE)</f>
        <v>Bestuursbureau</v>
      </c>
      <c r="C875" s="231" t="str">
        <f>VLOOKUP(Ruimtestaat[[#This Row],[Code]],Locaties[#All],4,FALSE)</f>
        <v>Drienerparkweg 16</v>
      </c>
      <c r="D875" s="231" t="str">
        <f>VLOOKUP(Ruimtestaat[[#This Row],[Code]],Locaties[#All],5,FALSE)</f>
        <v>7552 EB</v>
      </c>
      <c r="E875" s="187" t="str">
        <f>VLOOKUP(Ruimtestaat[[#This Row],[Code]],Locaties[#All],6,FALSE)</f>
        <v>Hengelo</v>
      </c>
      <c r="F875" s="232"/>
      <c r="G875" s="187" t="s">
        <v>1304</v>
      </c>
      <c r="H875" s="187" t="s">
        <v>1321</v>
      </c>
      <c r="I875" s="232" t="s">
        <v>1322</v>
      </c>
      <c r="J875" s="231">
        <v>2</v>
      </c>
      <c r="K875" s="231" t="str">
        <f>VLOOKUP(Ruimtestaat[[#This Row],[Ruimte code]],Ruimtegroepen[#All],2,FALSE)</f>
        <v>Kantoren/kantoortuin</v>
      </c>
      <c r="L875" s="231" t="s">
        <v>1204</v>
      </c>
      <c r="M875" s="187" t="s">
        <v>1205</v>
      </c>
      <c r="N875" s="251">
        <v>177.16</v>
      </c>
      <c r="O875" s="200"/>
      <c r="P875" s="231" t="str">
        <f>VLOOKUP(Ruimtestaat[[#This Row],[Ruimte code]],Ruimtegroepen[#All],4,FALSE)</f>
        <v>B  (Bureauruimte)</v>
      </c>
      <c r="Q875" s="201"/>
      <c r="R875" s="202">
        <v>51</v>
      </c>
      <c r="S875" s="202" t="s">
        <v>18</v>
      </c>
      <c r="T875" s="202">
        <f>IF(R875&gt;0,IF(RIGHT(Ruimtestaat[[#This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153</v>
      </c>
      <c r="U875" s="202">
        <f>IF(T875&gt;0,VLOOKUP($J875,Ruimtegroepen[],3,FALSE)*VLOOKUP($L875,Vloersoorten[],3,FALSE)*VLOOKUP($S875,Frequenties[],3,FALSE)*VLOOKUP($A875,Locaties[],3,FALSE),0)</f>
        <v>0</v>
      </c>
      <c r="V875" s="202">
        <f>Ruimtestaat[[#This Row],[Uitvoeringen werkdagen]]*Ruimtestaat[[#This Row],[Oppervlak (netto)]]</f>
        <v>27105.48</v>
      </c>
      <c r="W875" s="242">
        <f>IF(U875&gt;0,Ruimtestaat[[#This Row],[Prest. (m2 /jaar) werkdagen]]/Ruimtestaat[[#This Row],[Norm (m2/uur) werkdagen]],0)</f>
        <v>0</v>
      </c>
      <c r="X875" s="243">
        <f>Ruimtestaat[[#This Row],[uren / jaar werkdagen]]*Tariefsopbouw!$D$38</f>
        <v>0</v>
      </c>
      <c r="Y875" s="33"/>
      <c r="Z875" s="33">
        <f>IF(Ruimtestaat[[#This Row],[Frequentie weekend]]&gt;0,VALUE(LEFT(Y875,1))*R875,0)</f>
        <v>0</v>
      </c>
      <c r="AA875" s="33">
        <f>IF($Z875&gt;0,VLOOKUP($J875,Ruimtegroepen[],3,FALSE)*VLOOKUP($L875,Vloersoorten[],3,FALSE)*VLOOKUP($Y875,Frequenties[],3,FALSE)*VLOOKUP(#REF!,Locaties[],3,FALSE),0)</f>
        <v>0</v>
      </c>
      <c r="AB875" s="33"/>
      <c r="AC875" s="33"/>
      <c r="AD875" s="33">
        <f>Ruimtestaat[[#This Row],[uren / jaar weekend]]*Tariefsopbouw!$D$40</f>
        <v>0</v>
      </c>
      <c r="AE875" s="86">
        <f>Ruimtestaat[[#This Row],[Prest. (m2 /jaar) weekend]]+Ruimtestaat[[#This Row],[Prest. (m2 /jaar) werkdagen]]</f>
        <v>27105.48</v>
      </c>
      <c r="AF875" s="86">
        <f>Ruimtestaat[[#This Row],[uren / jaar weekend]]+Ruimtestaat[[#This Row],[uren / jaar werkdagen]]</f>
        <v>0</v>
      </c>
      <c r="AG875" s="87">
        <f>Ruimtestaat[[#This Row],[kosten / jaar weekend]]+Ruimtestaat[[#This Row],[kosten / jaar werkdagen]]</f>
        <v>0</v>
      </c>
    </row>
    <row r="876" spans="1:33" ht="15" customHeight="1">
      <c r="A876" s="187">
        <v>7</v>
      </c>
      <c r="B876" s="187" t="str">
        <f>VLOOKUP(Ruimtestaat[[#This Row],[Code]],Locaties[#All],2,FALSE)</f>
        <v>Bestuursbureau</v>
      </c>
      <c r="C876" s="231" t="str">
        <f>VLOOKUP(Ruimtestaat[[#This Row],[Code]],Locaties[#All],4,FALSE)</f>
        <v>Drienerparkweg 16</v>
      </c>
      <c r="D876" s="231" t="str">
        <f>VLOOKUP(Ruimtestaat[[#This Row],[Code]],Locaties[#All],5,FALSE)</f>
        <v>7552 EB</v>
      </c>
      <c r="E876" s="187" t="str">
        <f>VLOOKUP(Ruimtestaat[[#This Row],[Code]],Locaties[#All],6,FALSE)</f>
        <v>Hengelo</v>
      </c>
      <c r="F876" s="232"/>
      <c r="G876" s="187" t="s">
        <v>1304</v>
      </c>
      <c r="H876" s="187" t="s">
        <v>1323</v>
      </c>
      <c r="I876" s="232" t="s">
        <v>1324</v>
      </c>
      <c r="J876" s="231">
        <v>2</v>
      </c>
      <c r="K876" s="231" t="str">
        <f>VLOOKUP(Ruimtestaat[[#This Row],[Ruimte code]],Ruimtegroepen[#All],2,FALSE)</f>
        <v>Kantoren/kantoortuin</v>
      </c>
      <c r="L876" s="231" t="s">
        <v>1204</v>
      </c>
      <c r="M876" s="187" t="s">
        <v>1205</v>
      </c>
      <c r="N876" s="251">
        <v>6.29</v>
      </c>
      <c r="O876" s="200"/>
      <c r="P876" s="231" t="str">
        <f>VLOOKUP(Ruimtestaat[[#This Row],[Ruimte code]],Ruimtegroepen[#All],4,FALSE)</f>
        <v>B  (Bureauruimte)</v>
      </c>
      <c r="Q876" s="201"/>
      <c r="R876" s="202">
        <v>51</v>
      </c>
      <c r="S876" s="202" t="s">
        <v>18</v>
      </c>
      <c r="T876" s="202">
        <f>IF(R876&gt;0,IF(RIGHT(Ruimtestaat[[#This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153</v>
      </c>
      <c r="U876" s="202">
        <f>IF(T876&gt;0,VLOOKUP($J876,Ruimtegroepen[],3,FALSE)*VLOOKUP($L876,Vloersoorten[],3,FALSE)*VLOOKUP($S876,Frequenties[],3,FALSE)*VLOOKUP($A876,Locaties[],3,FALSE),0)</f>
        <v>0</v>
      </c>
      <c r="V876" s="202">
        <f>Ruimtestaat[[#This Row],[Uitvoeringen werkdagen]]*Ruimtestaat[[#This Row],[Oppervlak (netto)]]</f>
        <v>962.37</v>
      </c>
      <c r="W876" s="242">
        <f>IF(U876&gt;0,Ruimtestaat[[#This Row],[Prest. (m2 /jaar) werkdagen]]/Ruimtestaat[[#This Row],[Norm (m2/uur) werkdagen]],0)</f>
        <v>0</v>
      </c>
      <c r="X876" s="243">
        <f>Ruimtestaat[[#This Row],[uren / jaar werkdagen]]*Tariefsopbouw!$D$38</f>
        <v>0</v>
      </c>
      <c r="Y876" s="33"/>
      <c r="Z876" s="33">
        <f>IF(Ruimtestaat[[#This Row],[Frequentie weekend]]&gt;0,VALUE(LEFT(Y876,1))*R876,0)</f>
        <v>0</v>
      </c>
      <c r="AA876" s="33">
        <f>IF($Z876&gt;0,VLOOKUP($J876,Ruimtegroepen[],3,FALSE)*VLOOKUP($L876,Vloersoorten[],3,FALSE)*VLOOKUP($Y876,Frequenties[],3,FALSE)*VLOOKUP(#REF!,Locaties[],3,FALSE),0)</f>
        <v>0</v>
      </c>
      <c r="AB876" s="33"/>
      <c r="AC876" s="33"/>
      <c r="AD876" s="33">
        <f>Ruimtestaat[[#This Row],[uren / jaar weekend]]*Tariefsopbouw!$D$40</f>
        <v>0</v>
      </c>
      <c r="AE876" s="86">
        <f>Ruimtestaat[[#This Row],[Prest. (m2 /jaar) weekend]]+Ruimtestaat[[#This Row],[Prest. (m2 /jaar) werkdagen]]</f>
        <v>962.37</v>
      </c>
      <c r="AF876" s="86">
        <f>Ruimtestaat[[#This Row],[uren / jaar weekend]]+Ruimtestaat[[#This Row],[uren / jaar werkdagen]]</f>
        <v>0</v>
      </c>
      <c r="AG876" s="87">
        <f>Ruimtestaat[[#This Row],[kosten / jaar weekend]]+Ruimtestaat[[#This Row],[kosten / jaar werkdagen]]</f>
        <v>0</v>
      </c>
    </row>
    <row r="877" spans="1:33" ht="15" customHeight="1">
      <c r="A877" s="187">
        <v>7</v>
      </c>
      <c r="B877" s="187" t="str">
        <f>VLOOKUP(Ruimtestaat[[#This Row],[Code]],Locaties[#All],2,FALSE)</f>
        <v>Bestuursbureau</v>
      </c>
      <c r="C877" s="231" t="str">
        <f>VLOOKUP(Ruimtestaat[[#This Row],[Code]],Locaties[#All],4,FALSE)</f>
        <v>Drienerparkweg 16</v>
      </c>
      <c r="D877" s="231" t="str">
        <f>VLOOKUP(Ruimtestaat[[#This Row],[Code]],Locaties[#All],5,FALSE)</f>
        <v>7552 EB</v>
      </c>
      <c r="E877" s="187" t="str">
        <f>VLOOKUP(Ruimtestaat[[#This Row],[Code]],Locaties[#All],6,FALSE)</f>
        <v>Hengelo</v>
      </c>
      <c r="F877" s="232"/>
      <c r="G877" s="187" t="s">
        <v>1304</v>
      </c>
      <c r="H877" s="187" t="s">
        <v>1325</v>
      </c>
      <c r="I877" s="232" t="s">
        <v>1324</v>
      </c>
      <c r="J877" s="231">
        <v>2</v>
      </c>
      <c r="K877" s="231" t="str">
        <f>VLOOKUP(Ruimtestaat[[#This Row],[Ruimte code]],Ruimtegroepen[#All],2,FALSE)</f>
        <v>Kantoren/kantoortuin</v>
      </c>
      <c r="L877" s="231" t="s">
        <v>1204</v>
      </c>
      <c r="M877" s="187" t="s">
        <v>1205</v>
      </c>
      <c r="N877" s="251">
        <v>4.78</v>
      </c>
      <c r="O877" s="200"/>
      <c r="P877" s="231" t="str">
        <f>VLOOKUP(Ruimtestaat[[#This Row],[Ruimte code]],Ruimtegroepen[#All],4,FALSE)</f>
        <v>B  (Bureauruimte)</v>
      </c>
      <c r="Q877" s="201"/>
      <c r="R877" s="202">
        <v>51</v>
      </c>
      <c r="S877" s="202" t="s">
        <v>18</v>
      </c>
      <c r="T877" s="202">
        <f>IF(R877&gt;0,IF(RIGHT(Ruimtestaat[[#This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153</v>
      </c>
      <c r="U877" s="202">
        <f>IF(T877&gt;0,VLOOKUP($J877,Ruimtegroepen[],3,FALSE)*VLOOKUP($L877,Vloersoorten[],3,FALSE)*VLOOKUP($S877,Frequenties[],3,FALSE)*VLOOKUP($A877,Locaties[],3,FALSE),0)</f>
        <v>0</v>
      </c>
      <c r="V877" s="202">
        <f>Ruimtestaat[[#This Row],[Uitvoeringen werkdagen]]*Ruimtestaat[[#This Row],[Oppervlak (netto)]]</f>
        <v>731.34</v>
      </c>
      <c r="W877" s="242">
        <f>IF(U877&gt;0,Ruimtestaat[[#This Row],[Prest. (m2 /jaar) werkdagen]]/Ruimtestaat[[#This Row],[Norm (m2/uur) werkdagen]],0)</f>
        <v>0</v>
      </c>
      <c r="X877" s="243">
        <f>Ruimtestaat[[#This Row],[uren / jaar werkdagen]]*Tariefsopbouw!$D$38</f>
        <v>0</v>
      </c>
      <c r="Y877" s="33"/>
      <c r="Z877" s="33">
        <f>IF(Ruimtestaat[[#This Row],[Frequentie weekend]]&gt;0,VALUE(LEFT(Y877,1))*R877,0)</f>
        <v>0</v>
      </c>
      <c r="AA877" s="33">
        <f>IF($Z877&gt;0,VLOOKUP($J877,Ruimtegroepen[],3,FALSE)*VLOOKUP($L877,Vloersoorten[],3,FALSE)*VLOOKUP($Y877,Frequenties[],3,FALSE)*VLOOKUP(#REF!,Locaties[],3,FALSE),0)</f>
        <v>0</v>
      </c>
      <c r="AB877" s="33"/>
      <c r="AC877" s="33"/>
      <c r="AD877" s="33">
        <f>Ruimtestaat[[#This Row],[uren / jaar weekend]]*Tariefsopbouw!$D$40</f>
        <v>0</v>
      </c>
      <c r="AE877" s="86">
        <f>Ruimtestaat[[#This Row],[Prest. (m2 /jaar) weekend]]+Ruimtestaat[[#This Row],[Prest. (m2 /jaar) werkdagen]]</f>
        <v>731.34</v>
      </c>
      <c r="AF877" s="86">
        <f>Ruimtestaat[[#This Row],[uren / jaar weekend]]+Ruimtestaat[[#This Row],[uren / jaar werkdagen]]</f>
        <v>0</v>
      </c>
      <c r="AG877" s="87">
        <f>Ruimtestaat[[#This Row],[kosten / jaar weekend]]+Ruimtestaat[[#This Row],[kosten / jaar werkdagen]]</f>
        <v>0</v>
      </c>
    </row>
    <row r="878" spans="1:33" ht="15" customHeight="1">
      <c r="A878" s="187">
        <v>7</v>
      </c>
      <c r="B878" s="187" t="str">
        <f>VLOOKUP(Ruimtestaat[[#This Row],[Code]],Locaties[#All],2,FALSE)</f>
        <v>Bestuursbureau</v>
      </c>
      <c r="C878" s="231" t="str">
        <f>VLOOKUP(Ruimtestaat[[#This Row],[Code]],Locaties[#All],4,FALSE)</f>
        <v>Drienerparkweg 16</v>
      </c>
      <c r="D878" s="231" t="str">
        <f>VLOOKUP(Ruimtestaat[[#This Row],[Code]],Locaties[#All],5,FALSE)</f>
        <v>7552 EB</v>
      </c>
      <c r="E878" s="187" t="str">
        <f>VLOOKUP(Ruimtestaat[[#This Row],[Code]],Locaties[#All],6,FALSE)</f>
        <v>Hengelo</v>
      </c>
      <c r="F878" s="232"/>
      <c r="G878" s="187" t="s">
        <v>1304</v>
      </c>
      <c r="H878" s="187" t="s">
        <v>1326</v>
      </c>
      <c r="I878" s="232" t="s">
        <v>1324</v>
      </c>
      <c r="J878" s="231">
        <v>2</v>
      </c>
      <c r="K878" s="231" t="str">
        <f>VLOOKUP(Ruimtestaat[[#This Row],[Ruimte code]],Ruimtegroepen[#All],2,FALSE)</f>
        <v>Kantoren/kantoortuin</v>
      </c>
      <c r="L878" s="231" t="s">
        <v>1204</v>
      </c>
      <c r="M878" s="187" t="s">
        <v>1205</v>
      </c>
      <c r="N878" s="251">
        <v>4.66</v>
      </c>
      <c r="O878" s="200"/>
      <c r="P878" s="231" t="str">
        <f>VLOOKUP(Ruimtestaat[[#This Row],[Ruimte code]],Ruimtegroepen[#All],4,FALSE)</f>
        <v>B  (Bureauruimte)</v>
      </c>
      <c r="Q878" s="201"/>
      <c r="R878" s="202">
        <v>51</v>
      </c>
      <c r="S878" s="202" t="s">
        <v>18</v>
      </c>
      <c r="T878" s="202">
        <f>IF(R878&gt;0,IF(RIGHT(Ruimtestaat[[#This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153</v>
      </c>
      <c r="U878" s="202">
        <f>IF(T878&gt;0,VLOOKUP($J878,Ruimtegroepen[],3,FALSE)*VLOOKUP($L878,Vloersoorten[],3,FALSE)*VLOOKUP($S878,Frequenties[],3,FALSE)*VLOOKUP($A878,Locaties[],3,FALSE),0)</f>
        <v>0</v>
      </c>
      <c r="V878" s="202">
        <f>Ruimtestaat[[#This Row],[Uitvoeringen werkdagen]]*Ruimtestaat[[#This Row],[Oppervlak (netto)]]</f>
        <v>712.98</v>
      </c>
      <c r="W878" s="242">
        <f>IF(U878&gt;0,Ruimtestaat[[#This Row],[Prest. (m2 /jaar) werkdagen]]/Ruimtestaat[[#This Row],[Norm (m2/uur) werkdagen]],0)</f>
        <v>0</v>
      </c>
      <c r="X878" s="243">
        <f>Ruimtestaat[[#This Row],[uren / jaar werkdagen]]*Tariefsopbouw!$D$38</f>
        <v>0</v>
      </c>
      <c r="Y878" s="33"/>
      <c r="Z878" s="33">
        <f>IF(Ruimtestaat[[#This Row],[Frequentie weekend]]&gt;0,VALUE(LEFT(Y878,1))*R878,0)</f>
        <v>0</v>
      </c>
      <c r="AA878" s="33">
        <f>IF($Z878&gt;0,VLOOKUP($J878,Ruimtegroepen[],3,FALSE)*VLOOKUP($L878,Vloersoorten[],3,FALSE)*VLOOKUP($Y878,Frequenties[],3,FALSE)*VLOOKUP(#REF!,Locaties[],3,FALSE),0)</f>
        <v>0</v>
      </c>
      <c r="AB878" s="33"/>
      <c r="AC878" s="33"/>
      <c r="AD878" s="33">
        <f>Ruimtestaat[[#This Row],[uren / jaar weekend]]*Tariefsopbouw!$D$40</f>
        <v>0</v>
      </c>
      <c r="AE878" s="86">
        <f>Ruimtestaat[[#This Row],[Prest. (m2 /jaar) weekend]]+Ruimtestaat[[#This Row],[Prest. (m2 /jaar) werkdagen]]</f>
        <v>712.98</v>
      </c>
      <c r="AF878" s="86">
        <f>Ruimtestaat[[#This Row],[uren / jaar weekend]]+Ruimtestaat[[#This Row],[uren / jaar werkdagen]]</f>
        <v>0</v>
      </c>
      <c r="AG878" s="87">
        <f>Ruimtestaat[[#This Row],[kosten / jaar weekend]]+Ruimtestaat[[#This Row],[kosten / jaar werkdagen]]</f>
        <v>0</v>
      </c>
    </row>
    <row r="879" spans="1:33" ht="15" customHeight="1">
      <c r="A879" s="187">
        <v>7</v>
      </c>
      <c r="B879" s="187" t="str">
        <f>VLOOKUP(Ruimtestaat[[#This Row],[Code]],Locaties[#All],2,FALSE)</f>
        <v>Bestuursbureau</v>
      </c>
      <c r="C879" s="231" t="str">
        <f>VLOOKUP(Ruimtestaat[[#This Row],[Code]],Locaties[#All],4,FALSE)</f>
        <v>Drienerparkweg 16</v>
      </c>
      <c r="D879" s="231" t="str">
        <f>VLOOKUP(Ruimtestaat[[#This Row],[Code]],Locaties[#All],5,FALSE)</f>
        <v>7552 EB</v>
      </c>
      <c r="E879" s="187" t="str">
        <f>VLOOKUP(Ruimtestaat[[#This Row],[Code]],Locaties[#All],6,FALSE)</f>
        <v>Hengelo</v>
      </c>
      <c r="F879" s="232"/>
      <c r="G879" s="187" t="s">
        <v>1304</v>
      </c>
      <c r="H879" s="187" t="s">
        <v>1327</v>
      </c>
      <c r="I879" s="232" t="s">
        <v>414</v>
      </c>
      <c r="J879" s="231">
        <v>6</v>
      </c>
      <c r="K879" s="231" t="str">
        <f>VLOOKUP(Ruimtestaat[[#This Row],[Ruimte code]],Ruimtegroepen[#All],2,FALSE)</f>
        <v>Gangen/hallen</v>
      </c>
      <c r="L879" s="231" t="s">
        <v>1204</v>
      </c>
      <c r="M879" s="187" t="s">
        <v>1205</v>
      </c>
      <c r="N879" s="251">
        <v>65.680000000000007</v>
      </c>
      <c r="O879" s="200"/>
      <c r="P879" s="231" t="str">
        <f>VLOOKUP(Ruimtestaat[[#This Row],[Ruimte code]],Ruimtegroepen[#All],4,FALSE)</f>
        <v>V  (Verkeersruimte)</v>
      </c>
      <c r="Q879" s="201"/>
      <c r="R879" s="202">
        <v>51</v>
      </c>
      <c r="S879" s="202" t="s">
        <v>2</v>
      </c>
      <c r="T879" s="202">
        <f>IF(R879&gt;0,IF(RIGHT(Ruimtestaat[[#This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255</v>
      </c>
      <c r="U879" s="202">
        <f>IF(T879&gt;0,VLOOKUP($J879,Ruimtegroepen[],3,FALSE)*VLOOKUP($L879,Vloersoorten[],3,FALSE)*VLOOKUP($S879,Frequenties[],3,FALSE)*VLOOKUP($A879,Locaties[],3,FALSE),0)</f>
        <v>0</v>
      </c>
      <c r="V879" s="202">
        <f>Ruimtestaat[[#This Row],[Uitvoeringen werkdagen]]*Ruimtestaat[[#This Row],[Oppervlak (netto)]]</f>
        <v>16748.400000000001</v>
      </c>
      <c r="W879" s="242">
        <f>IF(U879&gt;0,Ruimtestaat[[#This Row],[Prest. (m2 /jaar) werkdagen]]/Ruimtestaat[[#This Row],[Norm (m2/uur) werkdagen]],0)</f>
        <v>0</v>
      </c>
      <c r="X879" s="243">
        <f>Ruimtestaat[[#This Row],[uren / jaar werkdagen]]*Tariefsopbouw!$D$38</f>
        <v>0</v>
      </c>
      <c r="Y879" s="33"/>
      <c r="Z879" s="33">
        <f>IF(Ruimtestaat[[#This Row],[Frequentie weekend]]&gt;0,VALUE(LEFT(Y879,1))*R879,0)</f>
        <v>0</v>
      </c>
      <c r="AA879" s="33">
        <f>IF($Z879&gt;0,VLOOKUP($J879,Ruimtegroepen[],3,FALSE)*VLOOKUP($L879,Vloersoorten[],3,FALSE)*VLOOKUP($Y879,Frequenties[],3,FALSE)*VLOOKUP(#REF!,Locaties[],3,FALSE),0)</f>
        <v>0</v>
      </c>
      <c r="AB879" s="33"/>
      <c r="AC879" s="33"/>
      <c r="AD879" s="33">
        <f>Ruimtestaat[[#This Row],[uren / jaar weekend]]*Tariefsopbouw!$D$40</f>
        <v>0</v>
      </c>
      <c r="AE879" s="86">
        <f>Ruimtestaat[[#This Row],[Prest. (m2 /jaar) weekend]]+Ruimtestaat[[#This Row],[Prest. (m2 /jaar) werkdagen]]</f>
        <v>16748.400000000001</v>
      </c>
      <c r="AF879" s="86">
        <f>Ruimtestaat[[#This Row],[uren / jaar weekend]]+Ruimtestaat[[#This Row],[uren / jaar werkdagen]]</f>
        <v>0</v>
      </c>
      <c r="AG879" s="87">
        <f>Ruimtestaat[[#This Row],[kosten / jaar weekend]]+Ruimtestaat[[#This Row],[kosten / jaar werkdagen]]</f>
        <v>0</v>
      </c>
    </row>
    <row r="880" spans="1:33" ht="15" customHeight="1">
      <c r="A880" s="187">
        <v>7</v>
      </c>
      <c r="B880" s="187" t="str">
        <f>VLOOKUP(Ruimtestaat[[#This Row],[Code]],Locaties[#All],2,FALSE)</f>
        <v>Bestuursbureau</v>
      </c>
      <c r="C880" s="231" t="str">
        <f>VLOOKUP(Ruimtestaat[[#This Row],[Code]],Locaties[#All],4,FALSE)</f>
        <v>Drienerparkweg 16</v>
      </c>
      <c r="D880" s="231" t="str">
        <f>VLOOKUP(Ruimtestaat[[#This Row],[Code]],Locaties[#All],5,FALSE)</f>
        <v>7552 EB</v>
      </c>
      <c r="E880" s="187" t="str">
        <f>VLOOKUP(Ruimtestaat[[#This Row],[Code]],Locaties[#All],6,FALSE)</f>
        <v>Hengelo</v>
      </c>
      <c r="F880" s="232"/>
      <c r="G880" s="187" t="s">
        <v>1304</v>
      </c>
      <c r="H880" s="187" t="s">
        <v>1328</v>
      </c>
      <c r="I880" s="232" t="s">
        <v>1324</v>
      </c>
      <c r="J880" s="231">
        <v>2</v>
      </c>
      <c r="K880" s="231" t="str">
        <f>VLOOKUP(Ruimtestaat[[#This Row],[Ruimte code]],Ruimtegroepen[#All],2,FALSE)</f>
        <v>Kantoren/kantoortuin</v>
      </c>
      <c r="L880" s="231" t="s">
        <v>1204</v>
      </c>
      <c r="M880" s="187" t="s">
        <v>1205</v>
      </c>
      <c r="N880" s="251">
        <v>4.7699999999999996</v>
      </c>
      <c r="O880" s="200"/>
      <c r="P880" s="231" t="str">
        <f>VLOOKUP(Ruimtestaat[[#This Row],[Ruimte code]],Ruimtegroepen[#All],4,FALSE)</f>
        <v>B  (Bureauruimte)</v>
      </c>
      <c r="Q880" s="201"/>
      <c r="R880" s="202">
        <v>51</v>
      </c>
      <c r="S880" s="202" t="s">
        <v>18</v>
      </c>
      <c r="T880" s="202">
        <f>IF(R880&gt;0,IF(RIGHT(Ruimtestaat[[#This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153</v>
      </c>
      <c r="U880" s="202">
        <f>IF(T880&gt;0,VLOOKUP($J880,Ruimtegroepen[],3,FALSE)*VLOOKUP($L880,Vloersoorten[],3,FALSE)*VLOOKUP($S880,Frequenties[],3,FALSE)*VLOOKUP($A880,Locaties[],3,FALSE),0)</f>
        <v>0</v>
      </c>
      <c r="V880" s="202">
        <f>Ruimtestaat[[#This Row],[Uitvoeringen werkdagen]]*Ruimtestaat[[#This Row],[Oppervlak (netto)]]</f>
        <v>729.81</v>
      </c>
      <c r="W880" s="242">
        <f>IF(U880&gt;0,Ruimtestaat[[#This Row],[Prest. (m2 /jaar) werkdagen]]/Ruimtestaat[[#This Row],[Norm (m2/uur) werkdagen]],0)</f>
        <v>0</v>
      </c>
      <c r="X880" s="243">
        <f>Ruimtestaat[[#This Row],[uren / jaar werkdagen]]*Tariefsopbouw!$D$38</f>
        <v>0</v>
      </c>
      <c r="Y880" s="33"/>
      <c r="Z880" s="33">
        <f>IF(Ruimtestaat[[#This Row],[Frequentie weekend]]&gt;0,VALUE(LEFT(Y880,1))*R880,0)</f>
        <v>0</v>
      </c>
      <c r="AA880" s="33">
        <f>IF($Z880&gt;0,VLOOKUP($J880,Ruimtegroepen[],3,FALSE)*VLOOKUP($L880,Vloersoorten[],3,FALSE)*VLOOKUP($Y880,Frequenties[],3,FALSE)*VLOOKUP(#REF!,Locaties[],3,FALSE),0)</f>
        <v>0</v>
      </c>
      <c r="AB880" s="33"/>
      <c r="AC880" s="33"/>
      <c r="AD880" s="33">
        <f>Ruimtestaat[[#This Row],[uren / jaar weekend]]*Tariefsopbouw!$D$40</f>
        <v>0</v>
      </c>
      <c r="AE880" s="86">
        <f>Ruimtestaat[[#This Row],[Prest. (m2 /jaar) weekend]]+Ruimtestaat[[#This Row],[Prest. (m2 /jaar) werkdagen]]</f>
        <v>729.81</v>
      </c>
      <c r="AF880" s="86">
        <f>Ruimtestaat[[#This Row],[uren / jaar weekend]]+Ruimtestaat[[#This Row],[uren / jaar werkdagen]]</f>
        <v>0</v>
      </c>
      <c r="AG880" s="87">
        <f>Ruimtestaat[[#This Row],[kosten / jaar weekend]]+Ruimtestaat[[#This Row],[kosten / jaar werkdagen]]</f>
        <v>0</v>
      </c>
    </row>
    <row r="881" spans="1:219" ht="15" customHeight="1">
      <c r="A881" s="187">
        <v>7</v>
      </c>
      <c r="B881" s="187" t="str">
        <f>VLOOKUP(Ruimtestaat[[#This Row],[Code]],Locaties[#All],2,FALSE)</f>
        <v>Bestuursbureau</v>
      </c>
      <c r="C881" s="231" t="str">
        <f>VLOOKUP(Ruimtestaat[[#This Row],[Code]],Locaties[#All],4,FALSE)</f>
        <v>Drienerparkweg 16</v>
      </c>
      <c r="D881" s="231" t="str">
        <f>VLOOKUP(Ruimtestaat[[#This Row],[Code]],Locaties[#All],5,FALSE)</f>
        <v>7552 EB</v>
      </c>
      <c r="E881" s="187" t="str">
        <f>VLOOKUP(Ruimtestaat[[#This Row],[Code]],Locaties[#All],6,FALSE)</f>
        <v>Hengelo</v>
      </c>
      <c r="F881" s="232"/>
      <c r="G881" s="187" t="s">
        <v>1304</v>
      </c>
      <c r="H881" s="187" t="s">
        <v>1329</v>
      </c>
      <c r="I881" s="232" t="s">
        <v>1324</v>
      </c>
      <c r="J881" s="231">
        <v>2</v>
      </c>
      <c r="K881" s="231" t="str">
        <f>VLOOKUP(Ruimtestaat[[#This Row],[Ruimte code]],Ruimtegroepen[#All],2,FALSE)</f>
        <v>Kantoren/kantoortuin</v>
      </c>
      <c r="L881" s="231" t="s">
        <v>1204</v>
      </c>
      <c r="M881" s="187" t="s">
        <v>1205</v>
      </c>
      <c r="N881" s="251">
        <v>6.29</v>
      </c>
      <c r="O881" s="200"/>
      <c r="P881" s="231" t="str">
        <f>VLOOKUP(Ruimtestaat[[#This Row],[Ruimte code]],Ruimtegroepen[#All],4,FALSE)</f>
        <v>B  (Bureauruimte)</v>
      </c>
      <c r="Q881" s="201"/>
      <c r="R881" s="202">
        <v>51</v>
      </c>
      <c r="S881" s="202" t="s">
        <v>18</v>
      </c>
      <c r="T881" s="202">
        <f>IF(R881&gt;0,IF(RIGHT(Ruimtestaat[[#This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153</v>
      </c>
      <c r="U881" s="202">
        <f>IF(T881&gt;0,VLOOKUP($J881,Ruimtegroepen[],3,FALSE)*VLOOKUP($L881,Vloersoorten[],3,FALSE)*VLOOKUP($S881,Frequenties[],3,FALSE)*VLOOKUP($A881,Locaties[],3,FALSE),0)</f>
        <v>0</v>
      </c>
      <c r="V881" s="202">
        <f>Ruimtestaat[[#This Row],[Uitvoeringen werkdagen]]*Ruimtestaat[[#This Row],[Oppervlak (netto)]]</f>
        <v>962.37</v>
      </c>
      <c r="W881" s="242">
        <f>IF(U881&gt;0,Ruimtestaat[[#This Row],[Prest. (m2 /jaar) werkdagen]]/Ruimtestaat[[#This Row],[Norm (m2/uur) werkdagen]],0)</f>
        <v>0</v>
      </c>
      <c r="X881" s="243">
        <f>Ruimtestaat[[#This Row],[uren / jaar werkdagen]]*Tariefsopbouw!$D$38</f>
        <v>0</v>
      </c>
      <c r="Y881" s="33"/>
      <c r="Z881" s="33">
        <f>IF(Ruimtestaat[[#This Row],[Frequentie weekend]]&gt;0,VALUE(LEFT(Y881,1))*R881,0)</f>
        <v>0</v>
      </c>
      <c r="AA881" s="33">
        <f>IF($Z881&gt;0,VLOOKUP($J881,Ruimtegroepen[],3,FALSE)*VLOOKUP($L881,Vloersoorten[],3,FALSE)*VLOOKUP($Y881,Frequenties[],3,FALSE)*VLOOKUP(#REF!,Locaties[],3,FALSE),0)</f>
        <v>0</v>
      </c>
      <c r="AB881" s="33"/>
      <c r="AC881" s="33"/>
      <c r="AD881" s="33">
        <f>Ruimtestaat[[#This Row],[uren / jaar weekend]]*Tariefsopbouw!$D$40</f>
        <v>0</v>
      </c>
      <c r="AE881" s="86">
        <f>Ruimtestaat[[#This Row],[Prest. (m2 /jaar) weekend]]+Ruimtestaat[[#This Row],[Prest. (m2 /jaar) werkdagen]]</f>
        <v>962.37</v>
      </c>
      <c r="AF881" s="86">
        <f>Ruimtestaat[[#This Row],[uren / jaar weekend]]+Ruimtestaat[[#This Row],[uren / jaar werkdagen]]</f>
        <v>0</v>
      </c>
      <c r="AG881" s="87">
        <f>Ruimtestaat[[#This Row],[kosten / jaar weekend]]+Ruimtestaat[[#This Row],[kosten / jaar werkdagen]]</f>
        <v>0</v>
      </c>
    </row>
    <row r="882" spans="1:219" ht="15" customHeight="1">
      <c r="A882" s="187">
        <v>7</v>
      </c>
      <c r="B882" s="187" t="str">
        <f>VLOOKUP(Ruimtestaat[[#This Row],[Code]],Locaties[#All],2,FALSE)</f>
        <v>Bestuursbureau</v>
      </c>
      <c r="C882" s="231" t="str">
        <f>VLOOKUP(Ruimtestaat[[#This Row],[Code]],Locaties[#All],4,FALSE)</f>
        <v>Drienerparkweg 16</v>
      </c>
      <c r="D882" s="231" t="str">
        <f>VLOOKUP(Ruimtestaat[[#This Row],[Code]],Locaties[#All],5,FALSE)</f>
        <v>7552 EB</v>
      </c>
      <c r="E882" s="187" t="str">
        <f>VLOOKUP(Ruimtestaat[[#This Row],[Code]],Locaties[#All],6,FALSE)</f>
        <v>Hengelo</v>
      </c>
      <c r="F882" s="232"/>
      <c r="G882" s="187" t="s">
        <v>1304</v>
      </c>
      <c r="H882" s="187" t="s">
        <v>1330</v>
      </c>
      <c r="I882" s="232" t="s">
        <v>1331</v>
      </c>
      <c r="J882" s="231">
        <v>2</v>
      </c>
      <c r="K882" s="231" t="str">
        <f>VLOOKUP(Ruimtestaat[[#This Row],[Ruimte code]],Ruimtegroepen[#All],2,FALSE)</f>
        <v>Kantoren/kantoortuin</v>
      </c>
      <c r="L882" s="231" t="s">
        <v>1204</v>
      </c>
      <c r="M882" s="187" t="s">
        <v>1205</v>
      </c>
      <c r="N882" s="251">
        <v>92.31</v>
      </c>
      <c r="O882" s="200"/>
      <c r="P882" s="231" t="str">
        <f>VLOOKUP(Ruimtestaat[[#This Row],[Ruimte code]],Ruimtegroepen[#All],4,FALSE)</f>
        <v>B  (Bureauruimte)</v>
      </c>
      <c r="Q882" s="201"/>
      <c r="R882" s="202">
        <v>51</v>
      </c>
      <c r="S882" s="202" t="s">
        <v>18</v>
      </c>
      <c r="T882" s="202">
        <f>IF(R882&gt;0,IF(RIGHT(Ruimtestaat[[#This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153</v>
      </c>
      <c r="U882" s="202">
        <f>IF(T882&gt;0,VLOOKUP($J882,Ruimtegroepen[],3,FALSE)*VLOOKUP($L882,Vloersoorten[],3,FALSE)*VLOOKUP($S882,Frequenties[],3,FALSE)*VLOOKUP($A882,Locaties[],3,FALSE),0)</f>
        <v>0</v>
      </c>
      <c r="V882" s="202">
        <f>Ruimtestaat[[#This Row],[Uitvoeringen werkdagen]]*Ruimtestaat[[#This Row],[Oppervlak (netto)]]</f>
        <v>14123.43</v>
      </c>
      <c r="W882" s="242">
        <f>IF(U882&gt;0,Ruimtestaat[[#This Row],[Prest. (m2 /jaar) werkdagen]]/Ruimtestaat[[#This Row],[Norm (m2/uur) werkdagen]],0)</f>
        <v>0</v>
      </c>
      <c r="X882" s="243">
        <f>Ruimtestaat[[#This Row],[uren / jaar werkdagen]]*Tariefsopbouw!$D$38</f>
        <v>0</v>
      </c>
      <c r="Y882" s="33"/>
      <c r="Z882" s="33">
        <f>IF(Ruimtestaat[[#This Row],[Frequentie weekend]]&gt;0,VALUE(LEFT(Y882,1))*R882,0)</f>
        <v>0</v>
      </c>
      <c r="AA882" s="33">
        <f>IF($Z882&gt;0,VLOOKUP($J882,Ruimtegroepen[],3,FALSE)*VLOOKUP($L882,Vloersoorten[],3,FALSE)*VLOOKUP($Y882,Frequenties[],3,FALSE)*VLOOKUP(#REF!,Locaties[],3,FALSE),0)</f>
        <v>0</v>
      </c>
      <c r="AB882" s="33"/>
      <c r="AC882" s="33"/>
      <c r="AD882" s="33">
        <f>Ruimtestaat[[#This Row],[uren / jaar weekend]]*Tariefsopbouw!$D$40</f>
        <v>0</v>
      </c>
      <c r="AE882" s="86">
        <f>Ruimtestaat[[#This Row],[Prest. (m2 /jaar) weekend]]+Ruimtestaat[[#This Row],[Prest. (m2 /jaar) werkdagen]]</f>
        <v>14123.43</v>
      </c>
      <c r="AF882" s="86">
        <f>Ruimtestaat[[#This Row],[uren / jaar weekend]]+Ruimtestaat[[#This Row],[uren / jaar werkdagen]]</f>
        <v>0</v>
      </c>
      <c r="AG882" s="87">
        <f>Ruimtestaat[[#This Row],[kosten / jaar weekend]]+Ruimtestaat[[#This Row],[kosten / jaar werkdagen]]</f>
        <v>0</v>
      </c>
    </row>
    <row r="883" spans="1:219" ht="15" customHeight="1">
      <c r="A883" s="187">
        <v>7</v>
      </c>
      <c r="B883" s="187" t="str">
        <f>VLOOKUP(Ruimtestaat[[#This Row],[Code]],Locaties[#All],2,FALSE)</f>
        <v>Bestuursbureau</v>
      </c>
      <c r="C883" s="231" t="str">
        <f>VLOOKUP(Ruimtestaat[[#This Row],[Code]],Locaties[#All],4,FALSE)</f>
        <v>Drienerparkweg 16</v>
      </c>
      <c r="D883" s="231" t="str">
        <f>VLOOKUP(Ruimtestaat[[#This Row],[Code]],Locaties[#All],5,FALSE)</f>
        <v>7552 EB</v>
      </c>
      <c r="E883" s="187" t="str">
        <f>VLOOKUP(Ruimtestaat[[#This Row],[Code]],Locaties[#All],6,FALSE)</f>
        <v>Hengelo</v>
      </c>
      <c r="F883" s="232"/>
      <c r="G883" s="187" t="s">
        <v>1304</v>
      </c>
      <c r="H883" s="187" t="s">
        <v>1332</v>
      </c>
      <c r="I883" s="232" t="s">
        <v>1333</v>
      </c>
      <c r="J883" s="231">
        <v>2</v>
      </c>
      <c r="K883" s="231" t="str">
        <f>VLOOKUP(Ruimtestaat[[#This Row],[Ruimte code]],Ruimtegroepen[#All],2,FALSE)</f>
        <v>Kantoren/kantoortuin</v>
      </c>
      <c r="L883" s="231" t="s">
        <v>1204</v>
      </c>
      <c r="M883" s="187" t="s">
        <v>1205</v>
      </c>
      <c r="N883" s="251">
        <v>75.5</v>
      </c>
      <c r="O883" s="200"/>
      <c r="P883" s="231" t="str">
        <f>VLOOKUP(Ruimtestaat[[#This Row],[Ruimte code]],Ruimtegroepen[#All],4,FALSE)</f>
        <v>B  (Bureauruimte)</v>
      </c>
      <c r="Q883" s="201"/>
      <c r="R883" s="202">
        <v>51</v>
      </c>
      <c r="S883" s="202" t="s">
        <v>18</v>
      </c>
      <c r="T883" s="202">
        <f>IF(R883&gt;0,IF(RIGHT(Ruimtestaat[[#This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153</v>
      </c>
      <c r="U883" s="202">
        <f>IF(T883&gt;0,VLOOKUP($J883,Ruimtegroepen[],3,FALSE)*VLOOKUP($L883,Vloersoorten[],3,FALSE)*VLOOKUP($S883,Frequenties[],3,FALSE)*VLOOKUP($A883,Locaties[],3,FALSE),0)</f>
        <v>0</v>
      </c>
      <c r="V883" s="202">
        <f>Ruimtestaat[[#This Row],[Uitvoeringen werkdagen]]*Ruimtestaat[[#This Row],[Oppervlak (netto)]]</f>
        <v>11551.5</v>
      </c>
      <c r="W883" s="242">
        <f>IF(U883&gt;0,Ruimtestaat[[#This Row],[Prest. (m2 /jaar) werkdagen]]/Ruimtestaat[[#This Row],[Norm (m2/uur) werkdagen]],0)</f>
        <v>0</v>
      </c>
      <c r="X883" s="243">
        <f>Ruimtestaat[[#This Row],[uren / jaar werkdagen]]*Tariefsopbouw!$D$38</f>
        <v>0</v>
      </c>
      <c r="Y883" s="33"/>
      <c r="Z883" s="33">
        <f>IF(Ruimtestaat[[#This Row],[Frequentie weekend]]&gt;0,VALUE(LEFT(Y883,1))*R883,0)</f>
        <v>0</v>
      </c>
      <c r="AA883" s="33">
        <f>IF($Z883&gt;0,VLOOKUP($J883,Ruimtegroepen[],3,FALSE)*VLOOKUP($L883,Vloersoorten[],3,FALSE)*VLOOKUP($Y883,Frequenties[],3,FALSE)*VLOOKUP(#REF!,Locaties[],3,FALSE),0)</f>
        <v>0</v>
      </c>
      <c r="AB883" s="33"/>
      <c r="AC883" s="33"/>
      <c r="AD883" s="33">
        <f>Ruimtestaat[[#This Row],[uren / jaar weekend]]*Tariefsopbouw!$D$40</f>
        <v>0</v>
      </c>
      <c r="AE883" s="86">
        <f>Ruimtestaat[[#This Row],[Prest. (m2 /jaar) weekend]]+Ruimtestaat[[#This Row],[Prest. (m2 /jaar) werkdagen]]</f>
        <v>11551.5</v>
      </c>
      <c r="AF883" s="86">
        <f>Ruimtestaat[[#This Row],[uren / jaar weekend]]+Ruimtestaat[[#This Row],[uren / jaar werkdagen]]</f>
        <v>0</v>
      </c>
      <c r="AG883" s="87">
        <f>Ruimtestaat[[#This Row],[kosten / jaar weekend]]+Ruimtestaat[[#This Row],[kosten / jaar werkdagen]]</f>
        <v>0</v>
      </c>
    </row>
    <row r="884" spans="1:219" ht="15" customHeight="1">
      <c r="A884" s="187">
        <v>7</v>
      </c>
      <c r="B884" s="187" t="str">
        <f>VLOOKUP(Ruimtestaat[[#This Row],[Code]],Locaties[#All],2,FALSE)</f>
        <v>Bestuursbureau</v>
      </c>
      <c r="C884" s="231" t="str">
        <f>VLOOKUP(Ruimtestaat[[#This Row],[Code]],Locaties[#All],4,FALSE)</f>
        <v>Drienerparkweg 16</v>
      </c>
      <c r="D884" s="231" t="str">
        <f>VLOOKUP(Ruimtestaat[[#This Row],[Code]],Locaties[#All],5,FALSE)</f>
        <v>7552 EB</v>
      </c>
      <c r="E884" s="187" t="str">
        <f>VLOOKUP(Ruimtestaat[[#This Row],[Code]],Locaties[#All],6,FALSE)</f>
        <v>Hengelo</v>
      </c>
      <c r="F884" s="232"/>
      <c r="G884" s="187" t="s">
        <v>1304</v>
      </c>
      <c r="H884" s="187" t="s">
        <v>1334</v>
      </c>
      <c r="I884" s="232" t="s">
        <v>1335</v>
      </c>
      <c r="J884" s="231">
        <v>2</v>
      </c>
      <c r="K884" s="231" t="str">
        <f>VLOOKUP(Ruimtestaat[[#This Row],[Ruimte code]],Ruimtegroepen[#All],2,FALSE)</f>
        <v>Kantoren/kantoortuin</v>
      </c>
      <c r="L884" s="231" t="s">
        <v>1204</v>
      </c>
      <c r="M884" s="187" t="s">
        <v>1205</v>
      </c>
      <c r="N884" s="251">
        <v>17.22</v>
      </c>
      <c r="O884" s="200"/>
      <c r="P884" s="231" t="str">
        <f>VLOOKUP(Ruimtestaat[[#This Row],[Ruimte code]],Ruimtegroepen[#All],4,FALSE)</f>
        <v>B  (Bureauruimte)</v>
      </c>
      <c r="Q884" s="201"/>
      <c r="R884" s="202">
        <v>51</v>
      </c>
      <c r="S884" s="202" t="s">
        <v>18</v>
      </c>
      <c r="T884" s="202">
        <f>IF(R884&gt;0,IF(RIGHT(Ruimtestaat[[#This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153</v>
      </c>
      <c r="U884" s="202">
        <f>IF(T884&gt;0,VLOOKUP($J884,Ruimtegroepen[],3,FALSE)*VLOOKUP($L884,Vloersoorten[],3,FALSE)*VLOOKUP($S884,Frequenties[],3,FALSE)*VLOOKUP($A884,Locaties[],3,FALSE),0)</f>
        <v>0</v>
      </c>
      <c r="V884" s="202">
        <f>Ruimtestaat[[#This Row],[Uitvoeringen werkdagen]]*Ruimtestaat[[#This Row],[Oppervlak (netto)]]</f>
        <v>2634.66</v>
      </c>
      <c r="W884" s="242">
        <f>IF(U884&gt;0,Ruimtestaat[[#This Row],[Prest. (m2 /jaar) werkdagen]]/Ruimtestaat[[#This Row],[Norm (m2/uur) werkdagen]],0)</f>
        <v>0</v>
      </c>
      <c r="X884" s="243">
        <f>Ruimtestaat[[#This Row],[uren / jaar werkdagen]]*Tariefsopbouw!$D$38</f>
        <v>0</v>
      </c>
      <c r="Y884" s="33"/>
      <c r="Z884" s="33">
        <f>IF(Ruimtestaat[[#This Row],[Frequentie weekend]]&gt;0,VALUE(LEFT(Y884,1))*R884,0)</f>
        <v>0</v>
      </c>
      <c r="AA884" s="33">
        <f>IF($Z884&gt;0,VLOOKUP($J884,Ruimtegroepen[],3,FALSE)*VLOOKUP($L884,Vloersoorten[],3,FALSE)*VLOOKUP($Y884,Frequenties[],3,FALSE)*VLOOKUP(#REF!,Locaties[],3,FALSE),0)</f>
        <v>0</v>
      </c>
      <c r="AB884" s="33"/>
      <c r="AC884" s="33"/>
      <c r="AD884" s="33">
        <f>Ruimtestaat[[#This Row],[uren / jaar weekend]]*Tariefsopbouw!$D$40</f>
        <v>0</v>
      </c>
      <c r="AE884" s="86">
        <f>Ruimtestaat[[#This Row],[Prest. (m2 /jaar) weekend]]+Ruimtestaat[[#This Row],[Prest. (m2 /jaar) werkdagen]]</f>
        <v>2634.66</v>
      </c>
      <c r="AF884" s="86">
        <f>Ruimtestaat[[#This Row],[uren / jaar weekend]]+Ruimtestaat[[#This Row],[uren / jaar werkdagen]]</f>
        <v>0</v>
      </c>
      <c r="AG884" s="87">
        <f>Ruimtestaat[[#This Row],[kosten / jaar weekend]]+Ruimtestaat[[#This Row],[kosten / jaar werkdagen]]</f>
        <v>0</v>
      </c>
    </row>
    <row r="885" spans="1:219" ht="15" customHeight="1">
      <c r="A885" s="187">
        <v>7</v>
      </c>
      <c r="B885" s="187" t="str">
        <f>VLOOKUP(Ruimtestaat[[#This Row],[Code]],Locaties[#All],2,FALSE)</f>
        <v>Bestuursbureau</v>
      </c>
      <c r="C885" s="231" t="str">
        <f>VLOOKUP(Ruimtestaat[[#This Row],[Code]],Locaties[#All],4,FALSE)</f>
        <v>Drienerparkweg 16</v>
      </c>
      <c r="D885" s="231" t="str">
        <f>VLOOKUP(Ruimtestaat[[#This Row],[Code]],Locaties[#All],5,FALSE)</f>
        <v>7552 EB</v>
      </c>
      <c r="E885" s="187" t="str">
        <f>VLOOKUP(Ruimtestaat[[#This Row],[Code]],Locaties[#All],6,FALSE)</f>
        <v>Hengelo</v>
      </c>
      <c r="F885" s="232"/>
      <c r="G885" s="187" t="s">
        <v>1304</v>
      </c>
      <c r="H885" s="187" t="s">
        <v>1336</v>
      </c>
      <c r="I885" s="232" t="s">
        <v>593</v>
      </c>
      <c r="J885" s="231">
        <v>8</v>
      </c>
      <c r="K885" s="231" t="str">
        <f>VLOOKUP(Ruimtestaat[[#This Row],[Ruimte code]],Ruimtegroepen[#All],2,FALSE)</f>
        <v>Receptie</v>
      </c>
      <c r="L885" s="231" t="s">
        <v>1204</v>
      </c>
      <c r="M885" s="187" t="s">
        <v>1205</v>
      </c>
      <c r="N885" s="251">
        <v>9.01</v>
      </c>
      <c r="O885" s="200"/>
      <c r="P885" s="231" t="str">
        <f>VLOOKUP(Ruimtestaat[[#This Row],[Ruimte code]],Ruimtegroepen[#All],4,FALSE)</f>
        <v>V  (Verkeersruimte)</v>
      </c>
      <c r="Q885" s="201"/>
      <c r="R885" s="202">
        <v>51</v>
      </c>
      <c r="S885" s="202" t="s">
        <v>2</v>
      </c>
      <c r="T885" s="202">
        <f>IF(R885&gt;0,IF(RIGHT(Ruimtestaat[[#This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255</v>
      </c>
      <c r="U885" s="202">
        <f>IF(T885&gt;0,VLOOKUP($J885,Ruimtegroepen[],3,FALSE)*VLOOKUP($L885,Vloersoorten[],3,FALSE)*VLOOKUP($S885,Frequenties[],3,FALSE)*VLOOKUP($A885,Locaties[],3,FALSE),0)</f>
        <v>0</v>
      </c>
      <c r="V885" s="202">
        <f>Ruimtestaat[[#This Row],[Uitvoeringen werkdagen]]*Ruimtestaat[[#This Row],[Oppervlak (netto)]]</f>
        <v>2297.5499999999997</v>
      </c>
      <c r="W885" s="242">
        <f>IF(U885&gt;0,Ruimtestaat[[#This Row],[Prest. (m2 /jaar) werkdagen]]/Ruimtestaat[[#This Row],[Norm (m2/uur) werkdagen]],0)</f>
        <v>0</v>
      </c>
      <c r="X885" s="243">
        <f>Ruimtestaat[[#This Row],[uren / jaar werkdagen]]*Tariefsopbouw!$D$38</f>
        <v>0</v>
      </c>
      <c r="Y885" s="33"/>
      <c r="Z885" s="33">
        <f>IF(Ruimtestaat[[#This Row],[Frequentie weekend]]&gt;0,VALUE(LEFT(Y885,1))*R885,0)</f>
        <v>0</v>
      </c>
      <c r="AA885" s="33">
        <f>IF($Z885&gt;0,VLOOKUP($J885,Ruimtegroepen[],3,FALSE)*VLOOKUP($L885,Vloersoorten[],3,FALSE)*VLOOKUP($Y885,Frequenties[],3,FALSE)*VLOOKUP(#REF!,Locaties[],3,FALSE),0)</f>
        <v>0</v>
      </c>
      <c r="AB885" s="33"/>
      <c r="AC885" s="33"/>
      <c r="AD885" s="33">
        <f>Ruimtestaat[[#This Row],[uren / jaar weekend]]*Tariefsopbouw!$D$40</f>
        <v>0</v>
      </c>
      <c r="AE885" s="86">
        <f>Ruimtestaat[[#This Row],[Prest. (m2 /jaar) weekend]]+Ruimtestaat[[#This Row],[Prest. (m2 /jaar) werkdagen]]</f>
        <v>2297.5499999999997</v>
      </c>
      <c r="AF885" s="86">
        <f>Ruimtestaat[[#This Row],[uren / jaar weekend]]+Ruimtestaat[[#This Row],[uren / jaar werkdagen]]</f>
        <v>0</v>
      </c>
      <c r="AG885" s="87">
        <f>Ruimtestaat[[#This Row],[kosten / jaar weekend]]+Ruimtestaat[[#This Row],[kosten / jaar werkdagen]]</f>
        <v>0</v>
      </c>
    </row>
    <row r="886" spans="1:219" ht="15" customHeight="1">
      <c r="A886" s="187">
        <v>7</v>
      </c>
      <c r="B886" s="187" t="str">
        <f>VLOOKUP(Ruimtestaat[[#This Row],[Code]],Locaties[#All],2,FALSE)</f>
        <v>Bestuursbureau</v>
      </c>
      <c r="C886" s="231" t="str">
        <f>VLOOKUP(Ruimtestaat[[#This Row],[Code]],Locaties[#All],4,FALSE)</f>
        <v>Drienerparkweg 16</v>
      </c>
      <c r="D886" s="231" t="str">
        <f>VLOOKUP(Ruimtestaat[[#This Row],[Code]],Locaties[#All],5,FALSE)</f>
        <v>7552 EB</v>
      </c>
      <c r="E886" s="187" t="str">
        <f>VLOOKUP(Ruimtestaat[[#This Row],[Code]],Locaties[#All],6,FALSE)</f>
        <v>Hengelo</v>
      </c>
      <c r="F886" s="232"/>
      <c r="G886" s="187" t="s">
        <v>1304</v>
      </c>
      <c r="H886" s="187" t="s">
        <v>1337</v>
      </c>
      <c r="I886" s="232" t="s">
        <v>1338</v>
      </c>
      <c r="J886" s="231">
        <v>2</v>
      </c>
      <c r="K886" s="231" t="str">
        <f>VLOOKUP(Ruimtestaat[[#This Row],[Ruimte code]],Ruimtegroepen[#All],2,FALSE)</f>
        <v>Kantoren/kantoortuin</v>
      </c>
      <c r="L886" s="231" t="s">
        <v>1204</v>
      </c>
      <c r="M886" s="187" t="s">
        <v>1205</v>
      </c>
      <c r="N886" s="251">
        <v>33.25</v>
      </c>
      <c r="O886" s="200"/>
      <c r="P886" s="231" t="str">
        <f>VLOOKUP(Ruimtestaat[[#This Row],[Ruimte code]],Ruimtegroepen[#All],4,FALSE)</f>
        <v>B  (Bureauruimte)</v>
      </c>
      <c r="Q886" s="201"/>
      <c r="R886" s="202">
        <v>51</v>
      </c>
      <c r="S886" s="202" t="s">
        <v>18</v>
      </c>
      <c r="T886" s="202">
        <f>IF(R886&gt;0,IF(RIGHT(Ruimtestaat[[#This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153</v>
      </c>
      <c r="U886" s="202">
        <f>IF(T886&gt;0,VLOOKUP($J886,Ruimtegroepen[],3,FALSE)*VLOOKUP($L886,Vloersoorten[],3,FALSE)*VLOOKUP($S886,Frequenties[],3,FALSE)*VLOOKUP($A886,Locaties[],3,FALSE),0)</f>
        <v>0</v>
      </c>
      <c r="V886" s="202">
        <f>Ruimtestaat[[#This Row],[Uitvoeringen werkdagen]]*Ruimtestaat[[#This Row],[Oppervlak (netto)]]</f>
        <v>5087.25</v>
      </c>
      <c r="W886" s="242">
        <f>IF(U886&gt;0,Ruimtestaat[[#This Row],[Prest. (m2 /jaar) werkdagen]]/Ruimtestaat[[#This Row],[Norm (m2/uur) werkdagen]],0)</f>
        <v>0</v>
      </c>
      <c r="X886" s="243">
        <f>Ruimtestaat[[#This Row],[uren / jaar werkdagen]]*Tariefsopbouw!$D$38</f>
        <v>0</v>
      </c>
      <c r="Y886" s="33"/>
      <c r="Z886" s="33">
        <f>IF(Ruimtestaat[[#This Row],[Frequentie weekend]]&gt;0,VALUE(LEFT(Y886,1))*R886,0)</f>
        <v>0</v>
      </c>
      <c r="AA886" s="33">
        <f>IF($Z886&gt;0,VLOOKUP($J886,Ruimtegroepen[],3,FALSE)*VLOOKUP($L886,Vloersoorten[],3,FALSE)*VLOOKUP($Y886,Frequenties[],3,FALSE)*VLOOKUP(#REF!,Locaties[],3,FALSE),0)</f>
        <v>0</v>
      </c>
      <c r="AB886" s="33"/>
      <c r="AC886" s="33"/>
      <c r="AD886" s="33">
        <f>Ruimtestaat[[#This Row],[uren / jaar weekend]]*Tariefsopbouw!$D$40</f>
        <v>0</v>
      </c>
      <c r="AE886" s="86">
        <f>Ruimtestaat[[#This Row],[Prest. (m2 /jaar) weekend]]+Ruimtestaat[[#This Row],[Prest. (m2 /jaar) werkdagen]]</f>
        <v>5087.25</v>
      </c>
      <c r="AF886" s="86">
        <f>Ruimtestaat[[#This Row],[uren / jaar weekend]]+Ruimtestaat[[#This Row],[uren / jaar werkdagen]]</f>
        <v>0</v>
      </c>
      <c r="AG886" s="87">
        <f>Ruimtestaat[[#This Row],[kosten / jaar weekend]]+Ruimtestaat[[#This Row],[kosten / jaar werkdagen]]</f>
        <v>0</v>
      </c>
    </row>
    <row r="887" spans="1:219" ht="15" customHeight="1">
      <c r="A887" s="187">
        <v>7</v>
      </c>
      <c r="B887" s="187" t="str">
        <f>VLOOKUP(Ruimtestaat[[#This Row],[Code]],Locaties[#All],2,FALSE)</f>
        <v>Bestuursbureau</v>
      </c>
      <c r="C887" s="231" t="str">
        <f>VLOOKUP(Ruimtestaat[[#This Row],[Code]],Locaties[#All],4,FALSE)</f>
        <v>Drienerparkweg 16</v>
      </c>
      <c r="D887" s="231" t="str">
        <f>VLOOKUP(Ruimtestaat[[#This Row],[Code]],Locaties[#All],5,FALSE)</f>
        <v>7552 EB</v>
      </c>
      <c r="E887" s="187" t="str">
        <f>VLOOKUP(Ruimtestaat[[#This Row],[Code]],Locaties[#All],6,FALSE)</f>
        <v>Hengelo</v>
      </c>
      <c r="F887" s="232"/>
      <c r="G887" s="187" t="s">
        <v>1304</v>
      </c>
      <c r="H887" s="187" t="s">
        <v>1339</v>
      </c>
      <c r="I887" s="232" t="s">
        <v>1340</v>
      </c>
      <c r="J887" s="231">
        <v>4</v>
      </c>
      <c r="K887" s="231" t="str">
        <f>VLOOKUP(Ruimtestaat[[#This Row],[Ruimte code]],Ruimtegroepen[#All],2,FALSE)</f>
        <v>Vergader/spreekkamers</v>
      </c>
      <c r="L887" s="231" t="s">
        <v>1204</v>
      </c>
      <c r="M887" s="187" t="s">
        <v>1205</v>
      </c>
      <c r="N887" s="251">
        <v>44.36</v>
      </c>
      <c r="O887" s="200"/>
      <c r="P887" s="231" t="str">
        <f>VLOOKUP(Ruimtestaat[[#This Row],[Ruimte code]],Ruimtegroepen[#All],4,FALSE)</f>
        <v>B  (Bureauruimte)</v>
      </c>
      <c r="Q887" s="201"/>
      <c r="R887" s="202">
        <v>51</v>
      </c>
      <c r="S887" s="202" t="s">
        <v>2</v>
      </c>
      <c r="T887" s="202">
        <f>IF(R887&gt;0,IF(RIGHT(Ruimtestaat[[#This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255</v>
      </c>
      <c r="U887" s="202">
        <f>IF(T887&gt;0,VLOOKUP($J887,Ruimtegroepen[],3,FALSE)*VLOOKUP($L887,Vloersoorten[],3,FALSE)*VLOOKUP($S887,Frequenties[],3,FALSE)*VLOOKUP($A887,Locaties[],3,FALSE),0)</f>
        <v>0</v>
      </c>
      <c r="V887" s="202">
        <f>Ruimtestaat[[#This Row],[Uitvoeringen werkdagen]]*Ruimtestaat[[#This Row],[Oppervlak (netto)]]</f>
        <v>11311.8</v>
      </c>
      <c r="W887" s="242">
        <f>IF(U887&gt;0,Ruimtestaat[[#This Row],[Prest. (m2 /jaar) werkdagen]]/Ruimtestaat[[#This Row],[Norm (m2/uur) werkdagen]],0)</f>
        <v>0</v>
      </c>
      <c r="X887" s="243">
        <f>Ruimtestaat[[#This Row],[uren / jaar werkdagen]]*Tariefsopbouw!$D$38</f>
        <v>0</v>
      </c>
      <c r="Y887" s="33"/>
      <c r="Z887" s="33">
        <f>IF(Ruimtestaat[[#This Row],[Frequentie weekend]]&gt;0,VALUE(LEFT(Y887,1))*R887,0)</f>
        <v>0</v>
      </c>
      <c r="AA887" s="33">
        <f>IF($Z887&gt;0,VLOOKUP($J887,Ruimtegroepen[],3,FALSE)*VLOOKUP($L887,Vloersoorten[],3,FALSE)*VLOOKUP($Y887,Frequenties[],3,FALSE)*VLOOKUP(#REF!,Locaties[],3,FALSE),0)</f>
        <v>0</v>
      </c>
      <c r="AB887" s="33"/>
      <c r="AC887" s="33"/>
      <c r="AD887" s="33">
        <f>Ruimtestaat[[#This Row],[uren / jaar weekend]]*Tariefsopbouw!$D$40</f>
        <v>0</v>
      </c>
      <c r="AE887" s="86">
        <f>Ruimtestaat[[#This Row],[Prest. (m2 /jaar) weekend]]+Ruimtestaat[[#This Row],[Prest. (m2 /jaar) werkdagen]]</f>
        <v>11311.8</v>
      </c>
      <c r="AF887" s="86">
        <f>Ruimtestaat[[#This Row],[uren / jaar weekend]]+Ruimtestaat[[#This Row],[uren / jaar werkdagen]]</f>
        <v>0</v>
      </c>
      <c r="AG887" s="87">
        <f>Ruimtestaat[[#This Row],[kosten / jaar weekend]]+Ruimtestaat[[#This Row],[kosten / jaar werkdagen]]</f>
        <v>0</v>
      </c>
    </row>
    <row r="888" spans="1:219" ht="15" customHeight="1">
      <c r="A888" s="187">
        <v>7</v>
      </c>
      <c r="B888" s="187" t="str">
        <f>VLOOKUP(Ruimtestaat[[#This Row],[Code]],Locaties[#All],2,FALSE)</f>
        <v>Bestuursbureau</v>
      </c>
      <c r="C888" s="231" t="str">
        <f>VLOOKUP(Ruimtestaat[[#This Row],[Code]],Locaties[#All],4,FALSE)</f>
        <v>Drienerparkweg 16</v>
      </c>
      <c r="D888" s="231" t="str">
        <f>VLOOKUP(Ruimtestaat[[#This Row],[Code]],Locaties[#All],5,FALSE)</f>
        <v>7552 EB</v>
      </c>
      <c r="E888" s="187" t="str">
        <f>VLOOKUP(Ruimtestaat[[#This Row],[Code]],Locaties[#All],6,FALSE)</f>
        <v>Hengelo</v>
      </c>
      <c r="F888" s="232"/>
      <c r="G888" s="187" t="s">
        <v>1304</v>
      </c>
      <c r="H888" s="187" t="s">
        <v>1341</v>
      </c>
      <c r="I888" s="232" t="s">
        <v>1342</v>
      </c>
      <c r="J888" s="231">
        <v>4</v>
      </c>
      <c r="K888" s="231" t="str">
        <f>VLOOKUP(Ruimtestaat[[#This Row],[Ruimte code]],Ruimtegroepen[#All],2,FALSE)</f>
        <v>Vergader/spreekkamers</v>
      </c>
      <c r="L888" s="231" t="s">
        <v>1204</v>
      </c>
      <c r="M888" s="187" t="s">
        <v>1205</v>
      </c>
      <c r="N888" s="251">
        <v>26.05</v>
      </c>
      <c r="O888" s="200"/>
      <c r="P888" s="231" t="str">
        <f>VLOOKUP(Ruimtestaat[[#This Row],[Ruimte code]],Ruimtegroepen[#All],4,FALSE)</f>
        <v>B  (Bureauruimte)</v>
      </c>
      <c r="Q888" s="201"/>
      <c r="R888" s="202">
        <v>51</v>
      </c>
      <c r="S888" s="202" t="s">
        <v>2</v>
      </c>
      <c r="T888" s="202">
        <f>IF(R888&gt;0,IF(RIGHT(Ruimtestaat[[#This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255</v>
      </c>
      <c r="U888" s="202">
        <f>IF(T888&gt;0,VLOOKUP($J888,Ruimtegroepen[],3,FALSE)*VLOOKUP($L888,Vloersoorten[],3,FALSE)*VLOOKUP($S888,Frequenties[],3,FALSE)*VLOOKUP($A888,Locaties[],3,FALSE),0)</f>
        <v>0</v>
      </c>
      <c r="V888" s="202">
        <f>Ruimtestaat[[#This Row],[Uitvoeringen werkdagen]]*Ruimtestaat[[#This Row],[Oppervlak (netto)]]</f>
        <v>6642.75</v>
      </c>
      <c r="W888" s="242">
        <f>IF(U888&gt;0,Ruimtestaat[[#This Row],[Prest. (m2 /jaar) werkdagen]]/Ruimtestaat[[#This Row],[Norm (m2/uur) werkdagen]],0)</f>
        <v>0</v>
      </c>
      <c r="X888" s="243">
        <f>Ruimtestaat[[#This Row],[uren / jaar werkdagen]]*Tariefsopbouw!$D$38</f>
        <v>0</v>
      </c>
      <c r="Y888" s="33"/>
      <c r="Z888" s="33">
        <f>IF(Ruimtestaat[[#This Row],[Frequentie weekend]]&gt;0,VALUE(LEFT(Y888,1))*R888,0)</f>
        <v>0</v>
      </c>
      <c r="AA888" s="33">
        <f>IF($Z888&gt;0,VLOOKUP($J888,Ruimtegroepen[],3,FALSE)*VLOOKUP($L888,Vloersoorten[],3,FALSE)*VLOOKUP($Y888,Frequenties[],3,FALSE)*VLOOKUP(#REF!,Locaties[],3,FALSE),0)</f>
        <v>0</v>
      </c>
      <c r="AB888" s="33"/>
      <c r="AC888" s="33"/>
      <c r="AD888" s="33">
        <f>Ruimtestaat[[#This Row],[uren / jaar weekend]]*Tariefsopbouw!$D$40</f>
        <v>0</v>
      </c>
      <c r="AE888" s="86">
        <f>Ruimtestaat[[#This Row],[Prest. (m2 /jaar) weekend]]+Ruimtestaat[[#This Row],[Prest. (m2 /jaar) werkdagen]]</f>
        <v>6642.75</v>
      </c>
      <c r="AF888" s="86">
        <f>Ruimtestaat[[#This Row],[uren / jaar weekend]]+Ruimtestaat[[#This Row],[uren / jaar werkdagen]]</f>
        <v>0</v>
      </c>
      <c r="AG888" s="87">
        <f>Ruimtestaat[[#This Row],[kosten / jaar weekend]]+Ruimtestaat[[#This Row],[kosten / jaar werkdagen]]</f>
        <v>0</v>
      </c>
    </row>
    <row r="889" spans="1:219" ht="15" customHeight="1">
      <c r="A889" s="187">
        <v>7</v>
      </c>
      <c r="B889" s="187" t="str">
        <f>VLOOKUP(Ruimtestaat[[#This Row],[Code]],Locaties[#All],2,FALSE)</f>
        <v>Bestuursbureau</v>
      </c>
      <c r="C889" s="231" t="str">
        <f>VLOOKUP(Ruimtestaat[[#This Row],[Code]],Locaties[#All],4,FALSE)</f>
        <v>Drienerparkweg 16</v>
      </c>
      <c r="D889" s="231" t="str">
        <f>VLOOKUP(Ruimtestaat[[#This Row],[Code]],Locaties[#All],5,FALSE)</f>
        <v>7552 EB</v>
      </c>
      <c r="E889" s="187" t="str">
        <f>VLOOKUP(Ruimtestaat[[#This Row],[Code]],Locaties[#All],6,FALSE)</f>
        <v>Hengelo</v>
      </c>
      <c r="F889" s="232"/>
      <c r="G889" s="187" t="s">
        <v>1304</v>
      </c>
      <c r="H889" s="187" t="s">
        <v>1343</v>
      </c>
      <c r="I889" s="232" t="s">
        <v>1344</v>
      </c>
      <c r="J889" s="231">
        <v>6</v>
      </c>
      <c r="K889" s="231" t="str">
        <f>VLOOKUP(Ruimtestaat[[#This Row],[Ruimte code]],Ruimtegroepen[#All],2,FALSE)</f>
        <v>Gangen/hallen</v>
      </c>
      <c r="L889" s="231" t="s">
        <v>1204</v>
      </c>
      <c r="M889" s="187" t="s">
        <v>1205</v>
      </c>
      <c r="N889" s="251">
        <v>18.399999999999999</v>
      </c>
      <c r="O889" s="190"/>
      <c r="P889" s="231" t="str">
        <f>VLOOKUP(Ruimtestaat[[#This Row],[Ruimte code]],Ruimtegroepen[#All],4,FALSE)</f>
        <v>V  (Verkeersruimte)</v>
      </c>
      <c r="Q889" s="201"/>
      <c r="R889" s="202">
        <v>51</v>
      </c>
      <c r="S889" s="202" t="s">
        <v>2</v>
      </c>
      <c r="T889" s="202">
        <f>IF(R889&gt;0,IF(RIGHT(Ruimtestaat[[#This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255</v>
      </c>
      <c r="U889" s="202">
        <f>IF(T889&gt;0,VLOOKUP($J889,Ruimtegroepen[],3,FALSE)*VLOOKUP($L889,Vloersoorten[],3,FALSE)*VLOOKUP($S889,Frequenties[],3,FALSE)*VLOOKUP($A889,Locaties[],3,FALSE),0)</f>
        <v>0</v>
      </c>
      <c r="V889" s="202">
        <f>Ruimtestaat[[#This Row],[Uitvoeringen werkdagen]]*Ruimtestaat[[#This Row],[Oppervlak (netto)]]</f>
        <v>4692</v>
      </c>
      <c r="W889" s="242">
        <f>IF(U889&gt;0,Ruimtestaat[[#This Row],[Prest. (m2 /jaar) werkdagen]]/Ruimtestaat[[#This Row],[Norm (m2/uur) werkdagen]],0)</f>
        <v>0</v>
      </c>
      <c r="X889" s="243">
        <f>Ruimtestaat[[#This Row],[uren / jaar werkdagen]]*Tariefsopbouw!$D$38</f>
        <v>0</v>
      </c>
      <c r="Y889" s="33"/>
      <c r="Z889" s="33">
        <f>IF(Ruimtestaat[[#This Row],[Frequentie weekend]]&gt;0,VALUE(LEFT(Y889,1))*R889,0)</f>
        <v>0</v>
      </c>
      <c r="AA889" s="33">
        <f>IF($Z889&gt;0,VLOOKUP($J889,Ruimtegroepen[],3,FALSE)*VLOOKUP($L889,Vloersoorten[],3,FALSE)*VLOOKUP($Y889,Frequenties[],3,FALSE)*VLOOKUP(#REF!,Locaties[],3,FALSE),0)</f>
        <v>0</v>
      </c>
      <c r="AB889" s="33"/>
      <c r="AC889" s="33"/>
      <c r="AD889" s="33">
        <f>Ruimtestaat[[#This Row],[uren / jaar weekend]]*Tariefsopbouw!$D$40</f>
        <v>0</v>
      </c>
      <c r="AE889" s="86">
        <f>Ruimtestaat[[#This Row],[Prest. (m2 /jaar) weekend]]+Ruimtestaat[[#This Row],[Prest. (m2 /jaar) werkdagen]]</f>
        <v>4692</v>
      </c>
      <c r="AF889" s="86">
        <f>Ruimtestaat[[#This Row],[uren / jaar weekend]]+Ruimtestaat[[#This Row],[uren / jaar werkdagen]]</f>
        <v>0</v>
      </c>
      <c r="AG889" s="87">
        <f>Ruimtestaat[[#This Row],[kosten / jaar weekend]]+Ruimtestaat[[#This Row],[kosten / jaar werkdagen]]</f>
        <v>0</v>
      </c>
    </row>
    <row r="890" spans="1:219" ht="15" customHeight="1">
      <c r="A890" s="187">
        <v>7</v>
      </c>
      <c r="B890" s="187" t="str">
        <f>VLOOKUP(Ruimtestaat[[#This Row],[Code]],Locaties[#All],2,FALSE)</f>
        <v>Bestuursbureau</v>
      </c>
      <c r="C890" s="231" t="str">
        <f>VLOOKUP(Ruimtestaat[[#This Row],[Code]],Locaties[#All],4,FALSE)</f>
        <v>Drienerparkweg 16</v>
      </c>
      <c r="D890" s="231" t="str">
        <f>VLOOKUP(Ruimtestaat[[#This Row],[Code]],Locaties[#All],5,FALSE)</f>
        <v>7552 EB</v>
      </c>
      <c r="E890" s="187" t="str">
        <f>VLOOKUP(Ruimtestaat[[#This Row],[Code]],Locaties[#All],6,FALSE)</f>
        <v>Hengelo</v>
      </c>
      <c r="F890" s="232"/>
      <c r="G890" s="187" t="s">
        <v>1304</v>
      </c>
      <c r="H890" s="187" t="s">
        <v>1345</v>
      </c>
      <c r="I890" s="232" t="s">
        <v>1346</v>
      </c>
      <c r="J890" s="231">
        <v>4</v>
      </c>
      <c r="K890" s="231" t="str">
        <f>VLOOKUP(Ruimtestaat[[#This Row],[Ruimte code]],Ruimtegroepen[#All],2,FALSE)</f>
        <v>Vergader/spreekkamers</v>
      </c>
      <c r="L890" s="231" t="s">
        <v>1204</v>
      </c>
      <c r="M890" s="187" t="s">
        <v>1205</v>
      </c>
      <c r="N890" s="251">
        <v>23.57</v>
      </c>
      <c r="O890" s="190"/>
      <c r="P890" s="231" t="str">
        <f>VLOOKUP(Ruimtestaat[[#This Row],[Ruimte code]],Ruimtegroepen[#All],4,FALSE)</f>
        <v>B  (Bureauruimte)</v>
      </c>
      <c r="Q890" s="201"/>
      <c r="R890" s="202">
        <v>51</v>
      </c>
      <c r="S890" s="202" t="s">
        <v>2</v>
      </c>
      <c r="T890" s="202">
        <f>IF(R890&gt;0,IF(RIGHT(Ruimtestaat[[#This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255</v>
      </c>
      <c r="U890" s="202">
        <f>IF(T890&gt;0,VLOOKUP($J890,Ruimtegroepen[],3,FALSE)*VLOOKUP($L890,Vloersoorten[],3,FALSE)*VLOOKUP($S890,Frequenties[],3,FALSE)*VLOOKUP($A890,Locaties[],3,FALSE),0)</f>
        <v>0</v>
      </c>
      <c r="V890" s="202">
        <f>Ruimtestaat[[#This Row],[Uitvoeringen werkdagen]]*Ruimtestaat[[#This Row],[Oppervlak (netto)]]</f>
        <v>6010.35</v>
      </c>
      <c r="W890" s="242">
        <f>IF(U890&gt;0,Ruimtestaat[[#This Row],[Prest. (m2 /jaar) werkdagen]]/Ruimtestaat[[#This Row],[Norm (m2/uur) werkdagen]],0)</f>
        <v>0</v>
      </c>
      <c r="X890" s="243">
        <f>Ruimtestaat[[#This Row],[uren / jaar werkdagen]]*Tariefsopbouw!$D$38</f>
        <v>0</v>
      </c>
      <c r="Y890" s="33"/>
      <c r="Z890" s="33">
        <f>IF(Ruimtestaat[[#This Row],[Frequentie weekend]]&gt;0,VALUE(LEFT(Y890,1))*R890,0)</f>
        <v>0</v>
      </c>
      <c r="AA890" s="33">
        <f>IF($Z890&gt;0,VLOOKUP($J890,Ruimtegroepen[],3,FALSE)*VLOOKUP($L890,Vloersoorten[],3,FALSE)*VLOOKUP($Y890,Frequenties[],3,FALSE)*VLOOKUP(#REF!,Locaties[],3,FALSE),0)</f>
        <v>0</v>
      </c>
      <c r="AB890" s="33"/>
      <c r="AC890" s="33"/>
      <c r="AD890" s="33">
        <f>Ruimtestaat[[#This Row],[uren / jaar weekend]]*Tariefsopbouw!$D$40</f>
        <v>0</v>
      </c>
      <c r="AE890" s="86">
        <f>Ruimtestaat[[#This Row],[Prest. (m2 /jaar) weekend]]+Ruimtestaat[[#This Row],[Prest. (m2 /jaar) werkdagen]]</f>
        <v>6010.35</v>
      </c>
      <c r="AF890" s="86">
        <f>Ruimtestaat[[#This Row],[uren / jaar weekend]]+Ruimtestaat[[#This Row],[uren / jaar werkdagen]]</f>
        <v>0</v>
      </c>
      <c r="AG890" s="87">
        <f>Ruimtestaat[[#This Row],[kosten / jaar weekend]]+Ruimtestaat[[#This Row],[kosten / jaar werkdagen]]</f>
        <v>0</v>
      </c>
    </row>
    <row r="891" spans="1:219" ht="15" customHeight="1">
      <c r="A891" s="187">
        <v>7</v>
      </c>
      <c r="B891" s="187" t="str">
        <f>VLOOKUP(Ruimtestaat[[#This Row],[Code]],Locaties[#All],2,FALSE)</f>
        <v>Bestuursbureau</v>
      </c>
      <c r="C891" s="231" t="str">
        <f>VLOOKUP(Ruimtestaat[[#This Row],[Code]],Locaties[#All],4,FALSE)</f>
        <v>Drienerparkweg 16</v>
      </c>
      <c r="D891" s="231" t="str">
        <f>VLOOKUP(Ruimtestaat[[#This Row],[Code]],Locaties[#All],5,FALSE)</f>
        <v>7552 EB</v>
      </c>
      <c r="E891" s="187" t="str">
        <f>VLOOKUP(Ruimtestaat[[#This Row],[Code]],Locaties[#All],6,FALSE)</f>
        <v>Hengelo</v>
      </c>
      <c r="F891" s="232"/>
      <c r="G891" s="187" t="s">
        <v>1304</v>
      </c>
      <c r="H891" s="187" t="s">
        <v>1347</v>
      </c>
      <c r="I891" s="232" t="s">
        <v>1348</v>
      </c>
      <c r="J891" s="231">
        <v>20</v>
      </c>
      <c r="K891" s="231" t="str">
        <f>VLOOKUP(Ruimtestaat[[#This Row],[Ruimte code]],Ruimtegroepen[#All],2,FALSE)</f>
        <v>Niet in onderhoud</v>
      </c>
      <c r="L891" s="231" t="s">
        <v>1204</v>
      </c>
      <c r="M891" s="187" t="s">
        <v>1205</v>
      </c>
      <c r="N891" s="251">
        <v>2.23</v>
      </c>
      <c r="O891" s="190"/>
      <c r="P891" s="231" t="str">
        <f>VLOOKUP(Ruimtestaat[[#This Row],[Ruimte code]],Ruimtegroepen[#All],4,FALSE)</f>
        <v>V  (Verkeersruimte)</v>
      </c>
      <c r="Q891" s="201"/>
      <c r="R891" s="202"/>
      <c r="S891" s="202"/>
      <c r="T891" s="202">
        <f>IF(R891&gt;0,IF(RIGHT(Ruimtestaat[[#This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891" s="202">
        <f>IF(T891&gt;0,VLOOKUP($J891,Ruimtegroepen[],3,FALSE)*VLOOKUP($L891,Vloersoorten[],3,FALSE)*VLOOKUP($S891,Frequenties[],3,FALSE)*VLOOKUP($A891,Locaties[],3,FALSE),0)</f>
        <v>0</v>
      </c>
      <c r="V891" s="202">
        <f>Ruimtestaat[[#This Row],[Uitvoeringen werkdagen]]*Ruimtestaat[[#This Row],[Oppervlak (netto)]]</f>
        <v>0</v>
      </c>
      <c r="W891" s="242">
        <f>IF(U891&gt;0,Ruimtestaat[[#This Row],[Prest. (m2 /jaar) werkdagen]]/Ruimtestaat[[#This Row],[Norm (m2/uur) werkdagen]],0)</f>
        <v>0</v>
      </c>
      <c r="X891" s="243">
        <f>Ruimtestaat[[#This Row],[uren / jaar werkdagen]]*Tariefsopbouw!$D$38</f>
        <v>0</v>
      </c>
      <c r="Y891" s="33"/>
      <c r="Z891" s="33">
        <f>IF(Ruimtestaat[[#This Row],[Frequentie weekend]]&gt;0,VALUE(LEFT(Y891,1))*R891,0)</f>
        <v>0</v>
      </c>
      <c r="AA891" s="33">
        <f>IF($Z891&gt;0,VLOOKUP($J891,Ruimtegroepen[],3,FALSE)*VLOOKUP($L891,Vloersoorten[],3,FALSE)*VLOOKUP($Y891,Frequenties[],3,FALSE)*VLOOKUP(#REF!,Locaties[],3,FALSE),0)</f>
        <v>0</v>
      </c>
      <c r="AB891" s="33"/>
      <c r="AC891" s="33"/>
      <c r="AD891" s="33">
        <f>Ruimtestaat[[#This Row],[uren / jaar weekend]]*Tariefsopbouw!$D$40</f>
        <v>0</v>
      </c>
      <c r="AE891" s="86">
        <f>Ruimtestaat[[#This Row],[Prest. (m2 /jaar) weekend]]+Ruimtestaat[[#This Row],[Prest. (m2 /jaar) werkdagen]]</f>
        <v>0</v>
      </c>
      <c r="AF891" s="86">
        <f>Ruimtestaat[[#This Row],[uren / jaar weekend]]+Ruimtestaat[[#This Row],[uren / jaar werkdagen]]</f>
        <v>0</v>
      </c>
      <c r="AG891" s="87">
        <f>Ruimtestaat[[#This Row],[kosten / jaar weekend]]+Ruimtestaat[[#This Row],[kosten / jaar werkdagen]]</f>
        <v>0</v>
      </c>
    </row>
    <row r="892" spans="1:219" ht="15" customHeight="1">
      <c r="A892" s="187">
        <v>7</v>
      </c>
      <c r="B892" s="187" t="str">
        <f>VLOOKUP(Ruimtestaat[[#This Row],[Code]],Locaties[#All],2,FALSE)</f>
        <v>Bestuursbureau</v>
      </c>
      <c r="C892" s="231" t="str">
        <f>VLOOKUP(Ruimtestaat[[#This Row],[Code]],Locaties[#All],4,FALSE)</f>
        <v>Drienerparkweg 16</v>
      </c>
      <c r="D892" s="231" t="str">
        <f>VLOOKUP(Ruimtestaat[[#This Row],[Code]],Locaties[#All],5,FALSE)</f>
        <v>7552 EB</v>
      </c>
      <c r="E892" s="187" t="str">
        <f>VLOOKUP(Ruimtestaat[[#This Row],[Code]],Locaties[#All],6,FALSE)</f>
        <v>Hengelo</v>
      </c>
      <c r="F892" s="232"/>
      <c r="G892" s="187" t="s">
        <v>1305</v>
      </c>
      <c r="H892" s="187" t="s">
        <v>1349</v>
      </c>
      <c r="I892" s="232" t="s">
        <v>675</v>
      </c>
      <c r="J892" s="231">
        <v>4</v>
      </c>
      <c r="K892" s="231" t="str">
        <f>VLOOKUP(Ruimtestaat[[#This Row],[Ruimte code]],Ruimtegroepen[#All],2,FALSE)</f>
        <v>Vergader/spreekkamers</v>
      </c>
      <c r="L892" s="231" t="s">
        <v>1204</v>
      </c>
      <c r="M892" s="187" t="s">
        <v>1205</v>
      </c>
      <c r="N892" s="251">
        <v>30.84</v>
      </c>
      <c r="O892" s="190"/>
      <c r="P892" s="231" t="str">
        <f>VLOOKUP(Ruimtestaat[[#This Row],[Ruimte code]],Ruimtegroepen[#All],4,FALSE)</f>
        <v>B  (Bureauruimte)</v>
      </c>
      <c r="Q892" s="201"/>
      <c r="R892" s="202">
        <v>51</v>
      </c>
      <c r="S892" s="202" t="s">
        <v>2</v>
      </c>
      <c r="T892" s="202">
        <f>IF(R892&gt;0,IF(RIGHT(Ruimtestaat[[#This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255</v>
      </c>
      <c r="U892" s="202">
        <f>IF(T892&gt;0,VLOOKUP($J892,Ruimtegroepen[],3,FALSE)*VLOOKUP($L892,Vloersoorten[],3,FALSE)*VLOOKUP($S892,Frequenties[],3,FALSE)*VLOOKUP($A892,Locaties[],3,FALSE),0)</f>
        <v>0</v>
      </c>
      <c r="V892" s="202">
        <f>Ruimtestaat[[#This Row],[Uitvoeringen werkdagen]]*Ruimtestaat[[#This Row],[Oppervlak (netto)]]</f>
        <v>7864.2</v>
      </c>
      <c r="W892" s="242">
        <f>IF(U892&gt;0,Ruimtestaat[[#This Row],[Prest. (m2 /jaar) werkdagen]]/Ruimtestaat[[#This Row],[Norm (m2/uur) werkdagen]],0)</f>
        <v>0</v>
      </c>
      <c r="X892" s="243">
        <f>Ruimtestaat[[#This Row],[uren / jaar werkdagen]]*Tariefsopbouw!$D$38</f>
        <v>0</v>
      </c>
      <c r="Y892" s="33"/>
      <c r="Z892" s="33">
        <f>IF(Ruimtestaat[[#This Row],[Frequentie weekend]]&gt;0,VALUE(LEFT(Y892,1))*R892,0)</f>
        <v>0</v>
      </c>
      <c r="AA892" s="33">
        <f>IF($Z892&gt;0,VLOOKUP($J892,Ruimtegroepen[],3,FALSE)*VLOOKUP($L892,Vloersoorten[],3,FALSE)*VLOOKUP($Y892,Frequenties[],3,FALSE)*VLOOKUP(#REF!,Locaties[],3,FALSE),0)</f>
        <v>0</v>
      </c>
      <c r="AB892" s="33"/>
      <c r="AC892" s="33"/>
      <c r="AD892" s="33">
        <f>Ruimtestaat[[#This Row],[uren / jaar weekend]]*Tariefsopbouw!$D$40</f>
        <v>0</v>
      </c>
      <c r="AE892" s="86">
        <f>Ruimtestaat[[#This Row],[Prest. (m2 /jaar) weekend]]+Ruimtestaat[[#This Row],[Prest. (m2 /jaar) werkdagen]]</f>
        <v>7864.2</v>
      </c>
      <c r="AF892" s="86">
        <f>Ruimtestaat[[#This Row],[uren / jaar weekend]]+Ruimtestaat[[#This Row],[uren / jaar werkdagen]]</f>
        <v>0</v>
      </c>
      <c r="AG892" s="87">
        <f>Ruimtestaat[[#This Row],[kosten / jaar weekend]]+Ruimtestaat[[#This Row],[kosten / jaar werkdagen]]</f>
        <v>0</v>
      </c>
    </row>
    <row r="893" spans="1:219" ht="15" customHeight="1">
      <c r="A893" s="187">
        <v>7</v>
      </c>
      <c r="B893" s="187" t="str">
        <f>VLOOKUP(Ruimtestaat[[#This Row],[Code]],Locaties[#All],2,FALSE)</f>
        <v>Bestuursbureau</v>
      </c>
      <c r="C893" s="231" t="str">
        <f>VLOOKUP(Ruimtestaat[[#This Row],[Code]],Locaties[#All],4,FALSE)</f>
        <v>Drienerparkweg 16</v>
      </c>
      <c r="D893" s="231" t="str">
        <f>VLOOKUP(Ruimtestaat[[#This Row],[Code]],Locaties[#All],5,FALSE)</f>
        <v>7552 EB</v>
      </c>
      <c r="E893" s="187" t="str">
        <f>VLOOKUP(Ruimtestaat[[#This Row],[Code]],Locaties[#All],6,FALSE)</f>
        <v>Hengelo</v>
      </c>
      <c r="F893" s="232"/>
      <c r="G893" s="187" t="s">
        <v>1305</v>
      </c>
      <c r="H893" s="187" t="s">
        <v>1308</v>
      </c>
      <c r="I893" s="232" t="s">
        <v>1350</v>
      </c>
      <c r="J893" s="231">
        <v>7</v>
      </c>
      <c r="K893" s="231" t="str">
        <f>VLOOKUP(Ruimtestaat[[#This Row],[Ruimte code]],Ruimtegroepen[#All],2,FALSE)</f>
        <v>Entree / buitenentree</v>
      </c>
      <c r="L893" s="231" t="s">
        <v>1204</v>
      </c>
      <c r="M893" s="187" t="s">
        <v>1205</v>
      </c>
      <c r="N893" s="251">
        <v>1.1599999999999999</v>
      </c>
      <c r="O893" s="190"/>
      <c r="P893" s="231" t="str">
        <f>VLOOKUP(Ruimtestaat[[#This Row],[Ruimte code]],Ruimtegroepen[#All],4,FALSE)</f>
        <v>V  (Verkeersruimte)</v>
      </c>
      <c r="Q893" s="201"/>
      <c r="R893" s="202">
        <v>51</v>
      </c>
      <c r="S893" s="202" t="s">
        <v>2</v>
      </c>
      <c r="T893" s="202">
        <f>IF(R893&gt;0,IF(RIGHT(Ruimtestaat[[#This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255</v>
      </c>
      <c r="U893" s="202">
        <f>IF(T893&gt;0,VLOOKUP($J893,Ruimtegroepen[],3,FALSE)*VLOOKUP($L893,Vloersoorten[],3,FALSE)*VLOOKUP($S893,Frequenties[],3,FALSE)*VLOOKUP($A893,Locaties[],3,FALSE),0)</f>
        <v>0</v>
      </c>
      <c r="V893" s="202">
        <f>Ruimtestaat[[#This Row],[Uitvoeringen werkdagen]]*Ruimtestaat[[#This Row],[Oppervlak (netto)]]</f>
        <v>295.79999999999995</v>
      </c>
      <c r="W893" s="242">
        <f>IF(U893&gt;0,Ruimtestaat[[#This Row],[Prest. (m2 /jaar) werkdagen]]/Ruimtestaat[[#This Row],[Norm (m2/uur) werkdagen]],0)</f>
        <v>0</v>
      </c>
      <c r="X893" s="243">
        <f>Ruimtestaat[[#This Row],[uren / jaar werkdagen]]*Tariefsopbouw!$D$38</f>
        <v>0</v>
      </c>
      <c r="Y893" s="33"/>
      <c r="Z893" s="33">
        <f>IF(Ruimtestaat[[#This Row],[Frequentie weekend]]&gt;0,VALUE(LEFT(Y893,1))*R893,0)</f>
        <v>0</v>
      </c>
      <c r="AA893" s="33">
        <f>IF($Z893&gt;0,VLOOKUP($J893,Ruimtegroepen[],3,FALSE)*VLOOKUP($L893,Vloersoorten[],3,FALSE)*VLOOKUP($Y893,Frequenties[],3,FALSE)*VLOOKUP(#REF!,Locaties[],3,FALSE),0)</f>
        <v>0</v>
      </c>
      <c r="AB893" s="33"/>
      <c r="AC893" s="33"/>
      <c r="AD893" s="33">
        <f>Ruimtestaat[[#This Row],[uren / jaar weekend]]*Tariefsopbouw!$D$40</f>
        <v>0</v>
      </c>
      <c r="AE893" s="86">
        <f>Ruimtestaat[[#This Row],[Prest. (m2 /jaar) weekend]]+Ruimtestaat[[#This Row],[Prest. (m2 /jaar) werkdagen]]</f>
        <v>295.79999999999995</v>
      </c>
      <c r="AF893" s="86">
        <f>Ruimtestaat[[#This Row],[uren / jaar weekend]]+Ruimtestaat[[#This Row],[uren / jaar werkdagen]]</f>
        <v>0</v>
      </c>
      <c r="AG893" s="87">
        <f>Ruimtestaat[[#This Row],[kosten / jaar weekend]]+Ruimtestaat[[#This Row],[kosten / jaar werkdagen]]</f>
        <v>0</v>
      </c>
    </row>
    <row r="894" spans="1:219" ht="15" customHeight="1">
      <c r="A894" s="187">
        <v>7</v>
      </c>
      <c r="B894" s="187" t="str">
        <f>VLOOKUP(Ruimtestaat[[#This Row],[Code]],Locaties[#All],2,FALSE)</f>
        <v>Bestuursbureau</v>
      </c>
      <c r="C894" s="231" t="str">
        <f>VLOOKUP(Ruimtestaat[[#This Row],[Code]],Locaties[#All],4,FALSE)</f>
        <v>Drienerparkweg 16</v>
      </c>
      <c r="D894" s="231" t="str">
        <f>VLOOKUP(Ruimtestaat[[#This Row],[Code]],Locaties[#All],5,FALSE)</f>
        <v>7552 EB</v>
      </c>
      <c r="E894" s="187" t="str">
        <f>VLOOKUP(Ruimtestaat[[#This Row],[Code]],Locaties[#All],6,FALSE)</f>
        <v>Hengelo</v>
      </c>
      <c r="F894" s="232"/>
      <c r="G894" s="187" t="s">
        <v>1305</v>
      </c>
      <c r="H894" s="187" t="s">
        <v>1327</v>
      </c>
      <c r="I894" s="232" t="s">
        <v>1351</v>
      </c>
      <c r="J894" s="231">
        <v>2</v>
      </c>
      <c r="K894" s="231" t="str">
        <f>VLOOKUP(Ruimtestaat[[#This Row],[Ruimte code]],Ruimtegroepen[#All],2,FALSE)</f>
        <v>Kantoren/kantoortuin</v>
      </c>
      <c r="L894" s="231" t="s">
        <v>1204</v>
      </c>
      <c r="M894" s="187" t="s">
        <v>1205</v>
      </c>
      <c r="N894" s="251">
        <v>17.45</v>
      </c>
      <c r="O894" s="190"/>
      <c r="P894" s="231" t="str">
        <f>VLOOKUP(Ruimtestaat[[#This Row],[Ruimte code]],Ruimtegroepen[#All],4,FALSE)</f>
        <v>B  (Bureauruimte)</v>
      </c>
      <c r="Q894" s="201"/>
      <c r="R894" s="202">
        <v>51</v>
      </c>
      <c r="S894" s="202" t="s">
        <v>18</v>
      </c>
      <c r="T894" s="202">
        <f>IF(R894&gt;0,IF(RIGHT(Ruimtestaat[[#This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153</v>
      </c>
      <c r="U894" s="202">
        <f>IF(T894&gt;0,VLOOKUP($J894,Ruimtegroepen[],3,FALSE)*VLOOKUP($L894,Vloersoorten[],3,FALSE)*VLOOKUP($S894,Frequenties[],3,FALSE)*VLOOKUP($A894,Locaties[],3,FALSE),0)</f>
        <v>0</v>
      </c>
      <c r="V894" s="202">
        <f>Ruimtestaat[[#This Row],[Uitvoeringen werkdagen]]*Ruimtestaat[[#This Row],[Oppervlak (netto)]]</f>
        <v>2669.85</v>
      </c>
      <c r="W894" s="242">
        <f>IF(U894&gt;0,Ruimtestaat[[#This Row],[Prest. (m2 /jaar) werkdagen]]/Ruimtestaat[[#This Row],[Norm (m2/uur) werkdagen]],0)</f>
        <v>0</v>
      </c>
      <c r="X894" s="243">
        <f>Ruimtestaat[[#This Row],[uren / jaar werkdagen]]*Tariefsopbouw!$D$38</f>
        <v>0</v>
      </c>
      <c r="Y894" s="33"/>
      <c r="Z894" s="33">
        <f>IF(Ruimtestaat[[#This Row],[Frequentie weekend]]&gt;0,VALUE(LEFT(Y894,1))*R894,0)</f>
        <v>0</v>
      </c>
      <c r="AA894" s="33">
        <f>IF($Z894&gt;0,VLOOKUP($J894,Ruimtegroepen[],3,FALSE)*VLOOKUP($L894,Vloersoorten[],3,FALSE)*VLOOKUP($Y894,Frequenties[],3,FALSE)*VLOOKUP(#REF!,Locaties[],3,FALSE),0)</f>
        <v>0</v>
      </c>
      <c r="AB894" s="33"/>
      <c r="AC894" s="33"/>
      <c r="AD894" s="33">
        <f>Ruimtestaat[[#This Row],[uren / jaar weekend]]*Tariefsopbouw!$D$40</f>
        <v>0</v>
      </c>
      <c r="AE894" s="86">
        <f>Ruimtestaat[[#This Row],[Prest. (m2 /jaar) weekend]]+Ruimtestaat[[#This Row],[Prest. (m2 /jaar) werkdagen]]</f>
        <v>2669.85</v>
      </c>
      <c r="AF894" s="86">
        <f>Ruimtestaat[[#This Row],[uren / jaar weekend]]+Ruimtestaat[[#This Row],[uren / jaar werkdagen]]</f>
        <v>0</v>
      </c>
      <c r="AG894" s="87">
        <f>Ruimtestaat[[#This Row],[kosten / jaar weekend]]+Ruimtestaat[[#This Row],[kosten / jaar werkdagen]]</f>
        <v>0</v>
      </c>
    </row>
    <row r="895" spans="1:219" ht="15" customHeight="1">
      <c r="A895" s="187">
        <v>7</v>
      </c>
      <c r="B895" s="187" t="str">
        <f>VLOOKUP(Ruimtestaat[[#This Row],[Code]],Locaties[#All],2,FALSE)</f>
        <v>Bestuursbureau</v>
      </c>
      <c r="C895" s="231" t="str">
        <f>VLOOKUP(Ruimtestaat[[#This Row],[Code]],Locaties[#All],4,FALSE)</f>
        <v>Drienerparkweg 16</v>
      </c>
      <c r="D895" s="231" t="str">
        <f>VLOOKUP(Ruimtestaat[[#This Row],[Code]],Locaties[#All],5,FALSE)</f>
        <v>7552 EB</v>
      </c>
      <c r="E895" s="187" t="str">
        <f>VLOOKUP(Ruimtestaat[[#This Row],[Code]],Locaties[#All],6,FALSE)</f>
        <v>Hengelo</v>
      </c>
      <c r="F895" s="232"/>
      <c r="G895" s="187" t="s">
        <v>1305</v>
      </c>
      <c r="H895" s="187" t="s">
        <v>1336</v>
      </c>
      <c r="I895" s="232" t="s">
        <v>1352</v>
      </c>
      <c r="J895" s="231">
        <v>4</v>
      </c>
      <c r="K895" s="231" t="str">
        <f>VLOOKUP(Ruimtestaat[[#This Row],[Ruimte code]],Ruimtegroepen[#All],2,FALSE)</f>
        <v>Vergader/spreekkamers</v>
      </c>
      <c r="L895" s="231" t="s">
        <v>1204</v>
      </c>
      <c r="M895" s="187" t="s">
        <v>1205</v>
      </c>
      <c r="N895" s="251">
        <v>15.54</v>
      </c>
      <c r="O895" s="190"/>
      <c r="P895" s="231" t="str">
        <f>VLOOKUP(Ruimtestaat[[#This Row],[Ruimte code]],Ruimtegroepen[#All],4,FALSE)</f>
        <v>B  (Bureauruimte)</v>
      </c>
      <c r="Q895" s="201"/>
      <c r="R895" s="202">
        <v>51</v>
      </c>
      <c r="S895" s="202" t="s">
        <v>2</v>
      </c>
      <c r="T895" s="202">
        <f>IF(R895&gt;0,IF(RIGHT(Ruimtestaat[[#This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255</v>
      </c>
      <c r="U895" s="202">
        <f>IF(T895&gt;0,VLOOKUP($J895,Ruimtegroepen[],3,FALSE)*VLOOKUP($L895,Vloersoorten[],3,FALSE)*VLOOKUP($S895,Frequenties[],3,FALSE)*VLOOKUP($A895,Locaties[],3,FALSE),0)</f>
        <v>0</v>
      </c>
      <c r="V895" s="202">
        <f>Ruimtestaat[[#This Row],[Uitvoeringen werkdagen]]*Ruimtestaat[[#This Row],[Oppervlak (netto)]]</f>
        <v>3962.7</v>
      </c>
      <c r="W895" s="242">
        <f>IF(U895&gt;0,Ruimtestaat[[#This Row],[Prest. (m2 /jaar) werkdagen]]/Ruimtestaat[[#This Row],[Norm (m2/uur) werkdagen]],0)</f>
        <v>0</v>
      </c>
      <c r="X895" s="243">
        <f>Ruimtestaat[[#This Row],[uren / jaar werkdagen]]*Tariefsopbouw!$D$38</f>
        <v>0</v>
      </c>
      <c r="Y895" s="33"/>
      <c r="Z895" s="33">
        <f>IF(Ruimtestaat[[#This Row],[Frequentie weekend]]&gt;0,VALUE(LEFT(Y895,1))*R895,0)</f>
        <v>0</v>
      </c>
      <c r="AA895" s="33">
        <f>IF($Z895&gt;0,VLOOKUP($J895,Ruimtegroepen[],3,FALSE)*VLOOKUP($L895,Vloersoorten[],3,FALSE)*VLOOKUP($Y895,Frequenties[],3,FALSE)*VLOOKUP(#REF!,Locaties[],3,FALSE),0)</f>
        <v>0</v>
      </c>
      <c r="AB895" s="33"/>
      <c r="AC895" s="33"/>
      <c r="AD895" s="33">
        <f>Ruimtestaat[[#This Row],[uren / jaar weekend]]*Tariefsopbouw!$D$40</f>
        <v>0</v>
      </c>
      <c r="AE895" s="86">
        <f>Ruimtestaat[[#This Row],[Prest. (m2 /jaar) weekend]]+Ruimtestaat[[#This Row],[Prest. (m2 /jaar) werkdagen]]</f>
        <v>3962.7</v>
      </c>
      <c r="AF895" s="86">
        <f>Ruimtestaat[[#This Row],[uren / jaar weekend]]+Ruimtestaat[[#This Row],[uren / jaar werkdagen]]</f>
        <v>0</v>
      </c>
      <c r="AG895" s="87">
        <f>Ruimtestaat[[#This Row],[kosten / jaar weekend]]+Ruimtestaat[[#This Row],[kosten / jaar werkdagen]]</f>
        <v>0</v>
      </c>
    </row>
    <row r="896" spans="1:219" ht="15" customHeight="1">
      <c r="A896" s="187">
        <v>7</v>
      </c>
      <c r="B896" s="187" t="s">
        <v>670</v>
      </c>
      <c r="C896" s="231" t="s">
        <v>671</v>
      </c>
      <c r="D896" s="231" t="s">
        <v>672</v>
      </c>
      <c r="E896" s="187" t="s">
        <v>673</v>
      </c>
      <c r="F896" s="232"/>
      <c r="G896" s="187" t="s">
        <v>1305</v>
      </c>
      <c r="H896" s="187" t="s">
        <v>1337</v>
      </c>
      <c r="I896" s="232" t="s">
        <v>1353</v>
      </c>
      <c r="J896" s="231">
        <v>2</v>
      </c>
      <c r="K896" s="231" t="str">
        <f>VLOOKUP(Ruimtestaat[[#This Row],[Ruimte code]],Ruimtegroepen[#All],2,FALSE)</f>
        <v>Kantoren/kantoortuin</v>
      </c>
      <c r="L896" s="231" t="s">
        <v>1204</v>
      </c>
      <c r="M896" s="187" t="s">
        <v>1205</v>
      </c>
      <c r="N896" s="251">
        <v>24.5</v>
      </c>
      <c r="O896" s="190"/>
      <c r="P896" s="231" t="str">
        <f>VLOOKUP(Ruimtestaat[[#This Row],[Ruimte code]],Ruimtegroepen[#All],4,FALSE)</f>
        <v>B  (Bureauruimte)</v>
      </c>
      <c r="Q896" s="201"/>
      <c r="R896" s="202">
        <v>51</v>
      </c>
      <c r="S896" s="202" t="s">
        <v>18</v>
      </c>
      <c r="T896" s="202">
        <f>IF(R896&gt;0,IF(RIGHT(Ruimtestaat[[#This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153</v>
      </c>
      <c r="U896" s="202">
        <f>IF(T896&gt;0,VLOOKUP($J896,Ruimtegroepen[],3,FALSE)*VLOOKUP($L896,Vloersoorten[],3,FALSE)*VLOOKUP($S896,Frequenties[],3,FALSE)*VLOOKUP($A896,Locaties[],3,FALSE),0)</f>
        <v>0</v>
      </c>
      <c r="V896" s="202">
        <f>Ruimtestaat[[#This Row],[Uitvoeringen werkdagen]]*Ruimtestaat[[#This Row],[Oppervlak (netto)]]</f>
        <v>3748.5</v>
      </c>
      <c r="W896" s="242">
        <f>IF(U896&gt;0,Ruimtestaat[[#This Row],[Prest. (m2 /jaar) werkdagen]]/Ruimtestaat[[#This Row],[Norm (m2/uur) werkdagen]],0)</f>
        <v>0</v>
      </c>
      <c r="X896" s="243">
        <f>Ruimtestaat[[#This Row],[uren / jaar werkdagen]]*Tariefsopbouw!$D$38</f>
        <v>0</v>
      </c>
      <c r="Y896" s="33"/>
      <c r="Z896" s="33">
        <f>IF(Ruimtestaat[[#This Row],[Frequentie weekend]]&gt;0,VALUE(LEFT(Y896,1))*R896,0)</f>
        <v>0</v>
      </c>
      <c r="AA896" s="33">
        <f>IF($Z896&gt;0,VLOOKUP($J896,Ruimtegroepen[],3,FALSE)*VLOOKUP($L896,Vloersoorten[],3,FALSE)*VLOOKUP($Y896,Frequenties[],3,FALSE)*VLOOKUP(#REF!,Locaties[],3,FALSE),0)</f>
        <v>0</v>
      </c>
      <c r="AB896" s="33"/>
      <c r="AC896" s="33"/>
      <c r="AD896" s="33">
        <f>Ruimtestaat[[#This Row],[uren / jaar weekend]]*Tariefsopbouw!$D$40</f>
        <v>0</v>
      </c>
      <c r="AE896" s="86">
        <f>Ruimtestaat[[#This Row],[Prest. (m2 /jaar) weekend]]+Ruimtestaat[[#This Row],[Prest. (m2 /jaar) werkdagen]]</f>
        <v>3748.5</v>
      </c>
      <c r="AF896" s="86">
        <f>Ruimtestaat[[#This Row],[uren / jaar weekend]]+Ruimtestaat[[#This Row],[uren / jaar werkdagen]]</f>
        <v>0</v>
      </c>
      <c r="AG896" s="87">
        <f>Ruimtestaat[[#This Row],[kosten / jaar weekend]]+Ruimtestaat[[#This Row],[kosten / jaar werkdagen]]</f>
        <v>0</v>
      </c>
      <c r="HA896" s="4"/>
      <c r="HB896" s="4"/>
      <c r="HC896" s="4"/>
      <c r="HD896" s="4"/>
      <c r="HE896" s="4"/>
      <c r="HF896" s="4"/>
      <c r="HG896" s="4"/>
      <c r="HH896" s="4"/>
      <c r="HI896" s="4"/>
      <c r="HJ896" s="4"/>
      <c r="HK896" s="4"/>
    </row>
    <row r="897" spans="1:219" ht="15" customHeight="1">
      <c r="A897" s="187">
        <v>7</v>
      </c>
      <c r="B897" s="187" t="s">
        <v>670</v>
      </c>
      <c r="C897" s="231" t="s">
        <v>671</v>
      </c>
      <c r="D897" s="231" t="s">
        <v>672</v>
      </c>
      <c r="E897" s="187" t="s">
        <v>673</v>
      </c>
      <c r="F897" s="232"/>
      <c r="G897" s="187" t="s">
        <v>1305</v>
      </c>
      <c r="H897" s="187" t="s">
        <v>1354</v>
      </c>
      <c r="I897" s="232" t="s">
        <v>1355</v>
      </c>
      <c r="J897" s="231">
        <v>5</v>
      </c>
      <c r="K897" s="231" t="str">
        <f>VLOOKUP(Ruimtestaat[[#This Row],[Ruimte code]],Ruimtegroepen[#All],2,FALSE)</f>
        <v>Sanitair</v>
      </c>
      <c r="L897" s="231" t="s">
        <v>108</v>
      </c>
      <c r="M897" s="250" t="s">
        <v>1201</v>
      </c>
      <c r="N897" s="251">
        <v>3.62</v>
      </c>
      <c r="O897" s="190"/>
      <c r="P897" s="231" t="str">
        <f>VLOOKUP(Ruimtestaat[[#This Row],[Ruimte code]],Ruimtegroepen[#All],4,FALSE)</f>
        <v>S  (Sanitair)</v>
      </c>
      <c r="Q897" s="201"/>
      <c r="R897" s="202">
        <v>51</v>
      </c>
      <c r="S897" s="202" t="s">
        <v>2</v>
      </c>
      <c r="T897" s="202">
        <f>IF(R897&gt;0,IF(RIGHT(Ruimtestaat[[#This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255</v>
      </c>
      <c r="U897" s="202">
        <f>IF(T897&gt;0,VLOOKUP($J897,Ruimtegroepen[],3,FALSE)*VLOOKUP($L897,Vloersoorten[],3,FALSE)*VLOOKUP($S897,Frequenties[],3,FALSE)*VLOOKUP($A897,Locaties[],3,FALSE),0)</f>
        <v>0</v>
      </c>
      <c r="V897" s="202">
        <f>Ruimtestaat[[#This Row],[Uitvoeringen werkdagen]]*Ruimtestaat[[#This Row],[Oppervlak (netto)]]</f>
        <v>923.1</v>
      </c>
      <c r="W897" s="242">
        <f>IF(U897&gt;0,Ruimtestaat[[#This Row],[Prest. (m2 /jaar) werkdagen]]/Ruimtestaat[[#This Row],[Norm (m2/uur) werkdagen]],0)</f>
        <v>0</v>
      </c>
      <c r="X897" s="243">
        <f>Ruimtestaat[[#This Row],[uren / jaar werkdagen]]*Tariefsopbouw!$D$38</f>
        <v>0</v>
      </c>
      <c r="Y897" s="33"/>
      <c r="Z897" s="33">
        <f>IF(Ruimtestaat[[#This Row],[Frequentie weekend]]&gt;0,VALUE(LEFT(Y897,1))*R897,0)</f>
        <v>0</v>
      </c>
      <c r="AA897" s="33">
        <f>IF($Z897&gt;0,VLOOKUP($J897,Ruimtegroepen[],3,FALSE)*VLOOKUP($L897,Vloersoorten[],3,FALSE)*VLOOKUP($Y897,Frequenties[],3,FALSE)*VLOOKUP(#REF!,Locaties[],3,FALSE),0)</f>
        <v>0</v>
      </c>
      <c r="AB897" s="33"/>
      <c r="AC897" s="33"/>
      <c r="AD897" s="33">
        <f>Ruimtestaat[[#This Row],[uren / jaar weekend]]*Tariefsopbouw!$D$40</f>
        <v>0</v>
      </c>
      <c r="AE897" s="86">
        <f>Ruimtestaat[[#This Row],[Prest. (m2 /jaar) weekend]]+Ruimtestaat[[#This Row],[Prest. (m2 /jaar) werkdagen]]</f>
        <v>923.1</v>
      </c>
      <c r="AF897" s="86">
        <f>Ruimtestaat[[#This Row],[uren / jaar weekend]]+Ruimtestaat[[#This Row],[uren / jaar werkdagen]]</f>
        <v>0</v>
      </c>
      <c r="AG897" s="87">
        <f>Ruimtestaat[[#This Row],[kosten / jaar weekend]]+Ruimtestaat[[#This Row],[kosten / jaar werkdagen]]</f>
        <v>0</v>
      </c>
      <c r="HA897" s="4"/>
      <c r="HB897" s="4"/>
      <c r="HC897" s="4"/>
      <c r="HD897" s="4"/>
      <c r="HE897" s="4"/>
      <c r="HF897" s="4"/>
      <c r="HG897" s="4"/>
      <c r="HH897" s="4"/>
      <c r="HI897" s="4"/>
      <c r="HJ897" s="4"/>
      <c r="HK897" s="4"/>
    </row>
    <row r="898" spans="1:219" ht="15" customHeight="1">
      <c r="A898" s="187">
        <v>7</v>
      </c>
      <c r="B898" s="187" t="s">
        <v>670</v>
      </c>
      <c r="C898" s="231" t="s">
        <v>671</v>
      </c>
      <c r="D898" s="231" t="s">
        <v>672</v>
      </c>
      <c r="E898" s="187" t="s">
        <v>673</v>
      </c>
      <c r="F898" s="232"/>
      <c r="G898" s="187" t="s">
        <v>1305</v>
      </c>
      <c r="H898" s="187" t="s">
        <v>1339</v>
      </c>
      <c r="I898" s="232" t="s">
        <v>1356</v>
      </c>
      <c r="J898" s="231">
        <v>4</v>
      </c>
      <c r="K898" s="231" t="str">
        <f>VLOOKUP(Ruimtestaat[[#This Row],[Ruimte code]],Ruimtegroepen[#All],2,FALSE)</f>
        <v>Vergader/spreekkamers</v>
      </c>
      <c r="L898" s="231" t="s">
        <v>1204</v>
      </c>
      <c r="M898" s="187" t="s">
        <v>1205</v>
      </c>
      <c r="N898" s="251">
        <v>11.63</v>
      </c>
      <c r="O898" s="190"/>
      <c r="P898" s="231" t="str">
        <f>VLOOKUP(Ruimtestaat[[#This Row],[Ruimte code]],Ruimtegroepen[#All],4,FALSE)</f>
        <v>B  (Bureauruimte)</v>
      </c>
      <c r="Q898" s="201"/>
      <c r="R898" s="202">
        <v>51</v>
      </c>
      <c r="S898" s="202" t="s">
        <v>2</v>
      </c>
      <c r="T898" s="202">
        <f>IF(R898&gt;0,IF(RIGHT(Ruimtestaat[[#This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255</v>
      </c>
      <c r="U898" s="202">
        <f>IF(T898&gt;0,VLOOKUP($J898,Ruimtegroepen[],3,FALSE)*VLOOKUP($L898,Vloersoorten[],3,FALSE)*VLOOKUP($S898,Frequenties[],3,FALSE)*VLOOKUP($A898,Locaties[],3,FALSE),0)</f>
        <v>0</v>
      </c>
      <c r="V898" s="202">
        <f>Ruimtestaat[[#This Row],[Uitvoeringen werkdagen]]*Ruimtestaat[[#This Row],[Oppervlak (netto)]]</f>
        <v>2965.65</v>
      </c>
      <c r="W898" s="242">
        <f>IF(U898&gt;0,Ruimtestaat[[#This Row],[Prest. (m2 /jaar) werkdagen]]/Ruimtestaat[[#This Row],[Norm (m2/uur) werkdagen]],0)</f>
        <v>0</v>
      </c>
      <c r="X898" s="243">
        <f>Ruimtestaat[[#This Row],[uren / jaar werkdagen]]*Tariefsopbouw!$D$38</f>
        <v>0</v>
      </c>
      <c r="Y898" s="33"/>
      <c r="Z898" s="33">
        <f>IF(Ruimtestaat[[#This Row],[Frequentie weekend]]&gt;0,VALUE(LEFT(Y898,1))*R898,0)</f>
        <v>0</v>
      </c>
      <c r="AA898" s="33">
        <f>IF($Z898&gt;0,VLOOKUP($J898,Ruimtegroepen[],3,FALSE)*VLOOKUP($L898,Vloersoorten[],3,FALSE)*VLOOKUP($Y898,Frequenties[],3,FALSE)*VLOOKUP(#REF!,Locaties[],3,FALSE),0)</f>
        <v>0</v>
      </c>
      <c r="AB898" s="33"/>
      <c r="AC898" s="33"/>
      <c r="AD898" s="33">
        <f>Ruimtestaat[[#This Row],[uren / jaar weekend]]*Tariefsopbouw!$D$40</f>
        <v>0</v>
      </c>
      <c r="AE898" s="86">
        <f>Ruimtestaat[[#This Row],[Prest. (m2 /jaar) weekend]]+Ruimtestaat[[#This Row],[Prest. (m2 /jaar) werkdagen]]</f>
        <v>2965.65</v>
      </c>
      <c r="AF898" s="86">
        <f>Ruimtestaat[[#This Row],[uren / jaar weekend]]+Ruimtestaat[[#This Row],[uren / jaar werkdagen]]</f>
        <v>0</v>
      </c>
      <c r="AG898" s="87">
        <f>Ruimtestaat[[#This Row],[kosten / jaar weekend]]+Ruimtestaat[[#This Row],[kosten / jaar werkdagen]]</f>
        <v>0</v>
      </c>
      <c r="HA898" s="4"/>
      <c r="HB898" s="4"/>
      <c r="HC898" s="4"/>
      <c r="HD898" s="4"/>
      <c r="HE898" s="4"/>
      <c r="HF898" s="4"/>
      <c r="HG898" s="4"/>
      <c r="HH898" s="4"/>
      <c r="HI898" s="4"/>
      <c r="HJ898" s="4"/>
      <c r="HK898" s="4"/>
    </row>
    <row r="899" spans="1:219" ht="15" customHeight="1">
      <c r="A899" s="187">
        <v>7</v>
      </c>
      <c r="B899" s="187" t="s">
        <v>670</v>
      </c>
      <c r="C899" s="231" t="s">
        <v>671</v>
      </c>
      <c r="D899" s="231" t="s">
        <v>672</v>
      </c>
      <c r="E899" s="187" t="s">
        <v>673</v>
      </c>
      <c r="F899" s="232"/>
      <c r="G899" s="187" t="s">
        <v>1305</v>
      </c>
      <c r="H899" s="187" t="s">
        <v>1357</v>
      </c>
      <c r="I899" s="232" t="s">
        <v>1358</v>
      </c>
      <c r="J899" s="231">
        <v>20</v>
      </c>
      <c r="K899" s="231" t="str">
        <f>VLOOKUP(Ruimtestaat[[#This Row],[Ruimte code]],Ruimtegroepen[#All],2,FALSE)</f>
        <v>Niet in onderhoud</v>
      </c>
      <c r="L899" s="231"/>
      <c r="M899" s="250"/>
      <c r="N899" s="251">
        <v>1.75</v>
      </c>
      <c r="O899" s="190"/>
      <c r="P899" s="231" t="str">
        <f>VLOOKUP(Ruimtestaat[[#This Row],[Ruimte code]],Ruimtegroepen[#All],4,FALSE)</f>
        <v>V  (Verkeersruimte)</v>
      </c>
      <c r="Q899" s="201"/>
      <c r="R899" s="202"/>
      <c r="S899" s="202"/>
      <c r="T899" s="202">
        <f>IF(R899&gt;0,IF(RIGHT(Ruimtestaat[[#This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899" s="202">
        <f>IF(T899&gt;0,VLOOKUP($J899,Ruimtegroepen[],3,FALSE)*VLOOKUP($L899,Vloersoorten[],3,FALSE)*VLOOKUP($S899,Frequenties[],3,FALSE)*VLOOKUP($A899,Locaties[],3,FALSE),0)</f>
        <v>0</v>
      </c>
      <c r="V899" s="202">
        <f>Ruimtestaat[[#This Row],[Uitvoeringen werkdagen]]*Ruimtestaat[[#This Row],[Oppervlak (netto)]]</f>
        <v>0</v>
      </c>
      <c r="W899" s="242">
        <f>IF(U899&gt;0,Ruimtestaat[[#This Row],[Prest. (m2 /jaar) werkdagen]]/Ruimtestaat[[#This Row],[Norm (m2/uur) werkdagen]],0)</f>
        <v>0</v>
      </c>
      <c r="X899" s="243">
        <f>Ruimtestaat[[#This Row],[uren / jaar werkdagen]]*Tariefsopbouw!$D$38</f>
        <v>0</v>
      </c>
      <c r="Y899" s="33"/>
      <c r="Z899" s="33">
        <f>IF(Ruimtestaat[[#This Row],[Frequentie weekend]]&gt;0,VALUE(LEFT(Y899,1))*R899,0)</f>
        <v>0</v>
      </c>
      <c r="AA899" s="33">
        <f>IF($Z899&gt;0,VLOOKUP($J899,Ruimtegroepen[],3,FALSE)*VLOOKUP($L899,Vloersoorten[],3,FALSE)*VLOOKUP($Y899,Frequenties[],3,FALSE)*VLOOKUP(#REF!,Locaties[],3,FALSE),0)</f>
        <v>0</v>
      </c>
      <c r="AB899" s="33"/>
      <c r="AC899" s="33"/>
      <c r="AD899" s="33">
        <f>Ruimtestaat[[#This Row],[uren / jaar weekend]]*Tariefsopbouw!$D$40</f>
        <v>0</v>
      </c>
      <c r="AE899" s="86">
        <f>Ruimtestaat[[#This Row],[Prest. (m2 /jaar) weekend]]+Ruimtestaat[[#This Row],[Prest. (m2 /jaar) werkdagen]]</f>
        <v>0</v>
      </c>
      <c r="AF899" s="86">
        <f>Ruimtestaat[[#This Row],[uren / jaar weekend]]+Ruimtestaat[[#This Row],[uren / jaar werkdagen]]</f>
        <v>0</v>
      </c>
      <c r="AG899" s="87">
        <f>Ruimtestaat[[#This Row],[kosten / jaar weekend]]+Ruimtestaat[[#This Row],[kosten / jaar werkdagen]]</f>
        <v>0</v>
      </c>
      <c r="HA899" s="4"/>
      <c r="HB899" s="4"/>
      <c r="HC899" s="4"/>
      <c r="HD899" s="4"/>
      <c r="HE899" s="4"/>
      <c r="HF899" s="4"/>
      <c r="HG899" s="4"/>
      <c r="HH899" s="4"/>
      <c r="HI899" s="4"/>
      <c r="HJ899" s="4"/>
      <c r="HK899" s="4"/>
    </row>
    <row r="900" spans="1:219" ht="15" customHeight="1">
      <c r="A900" s="187">
        <v>7</v>
      </c>
      <c r="B900" s="187" t="s">
        <v>670</v>
      </c>
      <c r="C900" s="231" t="s">
        <v>671</v>
      </c>
      <c r="D900" s="231" t="s">
        <v>672</v>
      </c>
      <c r="E900" s="187" t="s">
        <v>673</v>
      </c>
      <c r="F900" s="232"/>
      <c r="G900" s="187" t="s">
        <v>1305</v>
      </c>
      <c r="H900" s="187" t="s">
        <v>1359</v>
      </c>
      <c r="I900" s="232" t="s">
        <v>1358</v>
      </c>
      <c r="J900" s="231">
        <v>20</v>
      </c>
      <c r="K900" s="231" t="str">
        <f>VLOOKUP(Ruimtestaat[[#This Row],[Ruimte code]],Ruimtegroepen[#All],2,FALSE)</f>
        <v>Niet in onderhoud</v>
      </c>
      <c r="L900" s="231"/>
      <c r="M900" s="250"/>
      <c r="N900" s="251">
        <v>1.87</v>
      </c>
      <c r="O900" s="190"/>
      <c r="P900" s="231" t="str">
        <f>VLOOKUP(Ruimtestaat[[#This Row],[Ruimte code]],Ruimtegroepen[#All],4,FALSE)</f>
        <v>V  (Verkeersruimte)</v>
      </c>
      <c r="Q900" s="201"/>
      <c r="R900" s="202"/>
      <c r="S900" s="202"/>
      <c r="T900" s="202">
        <f>IF(R900&gt;0,IF(RIGHT(Ruimtestaat[[#This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900" s="202">
        <f>IF(T900&gt;0,VLOOKUP($J900,Ruimtegroepen[],3,FALSE)*VLOOKUP($L900,Vloersoorten[],3,FALSE)*VLOOKUP($S900,Frequenties[],3,FALSE)*VLOOKUP($A900,Locaties[],3,FALSE),0)</f>
        <v>0</v>
      </c>
      <c r="V900" s="202">
        <f>Ruimtestaat[[#This Row],[Uitvoeringen werkdagen]]*Ruimtestaat[[#This Row],[Oppervlak (netto)]]</f>
        <v>0</v>
      </c>
      <c r="W900" s="242">
        <f>IF(U900&gt;0,Ruimtestaat[[#This Row],[Prest. (m2 /jaar) werkdagen]]/Ruimtestaat[[#This Row],[Norm (m2/uur) werkdagen]],0)</f>
        <v>0</v>
      </c>
      <c r="X900" s="243">
        <f>Ruimtestaat[[#This Row],[uren / jaar werkdagen]]*Tariefsopbouw!$D$38</f>
        <v>0</v>
      </c>
      <c r="Y900" s="33"/>
      <c r="Z900" s="33">
        <f>IF(Ruimtestaat[[#This Row],[Frequentie weekend]]&gt;0,VALUE(LEFT(Y900,1))*R900,0)</f>
        <v>0</v>
      </c>
      <c r="AA900" s="33">
        <f>IF($Z900&gt;0,VLOOKUP($J900,Ruimtegroepen[],3,FALSE)*VLOOKUP($L900,Vloersoorten[],3,FALSE)*VLOOKUP($Y900,Frequenties[],3,FALSE)*VLOOKUP(#REF!,Locaties[],3,FALSE),0)</f>
        <v>0</v>
      </c>
      <c r="AB900" s="33"/>
      <c r="AC900" s="33"/>
      <c r="AD900" s="33">
        <f>Ruimtestaat[[#This Row],[uren / jaar weekend]]*Tariefsopbouw!$D$40</f>
        <v>0</v>
      </c>
      <c r="AE900" s="86">
        <f>Ruimtestaat[[#This Row],[Prest. (m2 /jaar) weekend]]+Ruimtestaat[[#This Row],[Prest. (m2 /jaar) werkdagen]]</f>
        <v>0</v>
      </c>
      <c r="AF900" s="86">
        <f>Ruimtestaat[[#This Row],[uren / jaar weekend]]+Ruimtestaat[[#This Row],[uren / jaar werkdagen]]</f>
        <v>0</v>
      </c>
      <c r="AG900" s="87">
        <f>Ruimtestaat[[#This Row],[kosten / jaar weekend]]+Ruimtestaat[[#This Row],[kosten / jaar werkdagen]]</f>
        <v>0</v>
      </c>
      <c r="HA900" s="4"/>
      <c r="HB900" s="4"/>
      <c r="HC900" s="4"/>
      <c r="HD900" s="4"/>
      <c r="HE900" s="4"/>
      <c r="HF900" s="4"/>
      <c r="HG900" s="4"/>
      <c r="HH900" s="4"/>
      <c r="HI900" s="4"/>
      <c r="HJ900" s="4"/>
      <c r="HK900" s="4"/>
    </row>
    <row r="901" spans="1:219" ht="15" customHeight="1">
      <c r="A901" s="187">
        <v>7</v>
      </c>
      <c r="B901" s="187" t="s">
        <v>670</v>
      </c>
      <c r="C901" s="231" t="s">
        <v>671</v>
      </c>
      <c r="D901" s="231" t="s">
        <v>672</v>
      </c>
      <c r="E901" s="187" t="s">
        <v>673</v>
      </c>
      <c r="F901" s="232"/>
      <c r="G901" s="187" t="s">
        <v>1305</v>
      </c>
      <c r="H901" s="187" t="s">
        <v>1341</v>
      </c>
      <c r="I901" s="232" t="s">
        <v>1360</v>
      </c>
      <c r="J901" s="231">
        <v>2</v>
      </c>
      <c r="K901" s="231" t="str">
        <f>VLOOKUP(Ruimtestaat[[#This Row],[Ruimte code]],Ruimtegroepen[#All],2,FALSE)</f>
        <v>Kantoren/kantoortuin</v>
      </c>
      <c r="L901" s="231" t="s">
        <v>1204</v>
      </c>
      <c r="M901" s="187" t="s">
        <v>1205</v>
      </c>
      <c r="N901" s="251">
        <v>38.799999999999997</v>
      </c>
      <c r="O901" s="190"/>
      <c r="P901" s="231" t="str">
        <f>VLOOKUP(Ruimtestaat[[#This Row],[Ruimte code]],Ruimtegroepen[#All],4,FALSE)</f>
        <v>B  (Bureauruimte)</v>
      </c>
      <c r="Q901" s="201"/>
      <c r="R901" s="202">
        <v>51</v>
      </c>
      <c r="S901" s="202" t="s">
        <v>18</v>
      </c>
      <c r="T901" s="202">
        <f>IF(R901&gt;0,IF(RIGHT(Ruimtestaat[[#This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153</v>
      </c>
      <c r="U901" s="202">
        <f>IF(T901&gt;0,VLOOKUP($J901,Ruimtegroepen[],3,FALSE)*VLOOKUP($L901,Vloersoorten[],3,FALSE)*VLOOKUP($S901,Frequenties[],3,FALSE)*VLOOKUP($A901,Locaties[],3,FALSE),0)</f>
        <v>0</v>
      </c>
      <c r="V901" s="202">
        <f>Ruimtestaat[[#This Row],[Uitvoeringen werkdagen]]*Ruimtestaat[[#This Row],[Oppervlak (netto)]]</f>
        <v>5936.4</v>
      </c>
      <c r="W901" s="242">
        <f>IF(U901&gt;0,Ruimtestaat[[#This Row],[Prest. (m2 /jaar) werkdagen]]/Ruimtestaat[[#This Row],[Norm (m2/uur) werkdagen]],0)</f>
        <v>0</v>
      </c>
      <c r="X901" s="243">
        <f>Ruimtestaat[[#This Row],[uren / jaar werkdagen]]*Tariefsopbouw!$D$38</f>
        <v>0</v>
      </c>
      <c r="Y901" s="33"/>
      <c r="Z901" s="33">
        <f>IF(Ruimtestaat[[#This Row],[Frequentie weekend]]&gt;0,VALUE(LEFT(Y901,1))*R901,0)</f>
        <v>0</v>
      </c>
      <c r="AA901" s="33">
        <f>IF($Z901&gt;0,VLOOKUP($J901,Ruimtegroepen[],3,FALSE)*VLOOKUP($L901,Vloersoorten[],3,FALSE)*VLOOKUP($Y901,Frequenties[],3,FALSE)*VLOOKUP(#REF!,Locaties[],3,FALSE),0)</f>
        <v>0</v>
      </c>
      <c r="AB901" s="33"/>
      <c r="AC901" s="33"/>
      <c r="AD901" s="33">
        <f>Ruimtestaat[[#This Row],[uren / jaar weekend]]*Tariefsopbouw!$D$40</f>
        <v>0</v>
      </c>
      <c r="AE901" s="86">
        <f>Ruimtestaat[[#This Row],[Prest. (m2 /jaar) weekend]]+Ruimtestaat[[#This Row],[Prest. (m2 /jaar) werkdagen]]</f>
        <v>5936.4</v>
      </c>
      <c r="AF901" s="86">
        <f>Ruimtestaat[[#This Row],[uren / jaar weekend]]+Ruimtestaat[[#This Row],[uren / jaar werkdagen]]</f>
        <v>0</v>
      </c>
      <c r="AG901" s="87">
        <f>Ruimtestaat[[#This Row],[kosten / jaar weekend]]+Ruimtestaat[[#This Row],[kosten / jaar werkdagen]]</f>
        <v>0</v>
      </c>
      <c r="HA901" s="4"/>
      <c r="HB901" s="4"/>
      <c r="HC901" s="4"/>
      <c r="HD901" s="4"/>
      <c r="HE901" s="4"/>
      <c r="HF901" s="4"/>
      <c r="HG901" s="4"/>
      <c r="HH901" s="4"/>
      <c r="HI901" s="4"/>
      <c r="HJ901" s="4"/>
      <c r="HK901" s="4"/>
    </row>
    <row r="902" spans="1:219" ht="15" customHeight="1">
      <c r="A902" s="187">
        <v>7</v>
      </c>
      <c r="B902" s="187" t="s">
        <v>670</v>
      </c>
      <c r="C902" s="231" t="s">
        <v>671</v>
      </c>
      <c r="D902" s="231" t="s">
        <v>672</v>
      </c>
      <c r="E902" s="187" t="s">
        <v>673</v>
      </c>
      <c r="F902" s="232"/>
      <c r="G902" s="187" t="s">
        <v>1305</v>
      </c>
      <c r="H902" s="187" t="s">
        <v>1345</v>
      </c>
      <c r="I902" s="232" t="s">
        <v>1361</v>
      </c>
      <c r="J902" s="231">
        <v>2</v>
      </c>
      <c r="K902" s="231" t="str">
        <f>VLOOKUP(Ruimtestaat[[#This Row],[Ruimte code]],Ruimtegroepen[#All],2,FALSE)</f>
        <v>Kantoren/kantoortuin</v>
      </c>
      <c r="L902" s="231" t="s">
        <v>1204</v>
      </c>
      <c r="M902" s="187" t="s">
        <v>1205</v>
      </c>
      <c r="N902" s="251">
        <v>37.42</v>
      </c>
      <c r="O902" s="190"/>
      <c r="P902" s="231" t="str">
        <f>VLOOKUP(Ruimtestaat[[#This Row],[Ruimte code]],Ruimtegroepen[#All],4,FALSE)</f>
        <v>B  (Bureauruimte)</v>
      </c>
      <c r="Q902" s="201"/>
      <c r="R902" s="202">
        <v>51</v>
      </c>
      <c r="S902" s="202" t="s">
        <v>18</v>
      </c>
      <c r="T902" s="202">
        <f>IF(R902&gt;0,IF(RIGHT(Ruimtestaat[[#This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153</v>
      </c>
      <c r="U902" s="202">
        <f>IF(T902&gt;0,VLOOKUP($J902,Ruimtegroepen[],3,FALSE)*VLOOKUP($L902,Vloersoorten[],3,FALSE)*VLOOKUP($S902,Frequenties[],3,FALSE)*VLOOKUP($A902,Locaties[],3,FALSE),0)</f>
        <v>0</v>
      </c>
      <c r="V902" s="202">
        <f>Ruimtestaat[[#This Row],[Uitvoeringen werkdagen]]*Ruimtestaat[[#This Row],[Oppervlak (netto)]]</f>
        <v>5725.26</v>
      </c>
      <c r="W902" s="242">
        <f>IF(U902&gt;0,Ruimtestaat[[#This Row],[Prest. (m2 /jaar) werkdagen]]/Ruimtestaat[[#This Row],[Norm (m2/uur) werkdagen]],0)</f>
        <v>0</v>
      </c>
      <c r="X902" s="243">
        <f>Ruimtestaat[[#This Row],[uren / jaar werkdagen]]*Tariefsopbouw!$D$38</f>
        <v>0</v>
      </c>
      <c r="Y902" s="33"/>
      <c r="Z902" s="33">
        <f>IF(Ruimtestaat[[#This Row],[Frequentie weekend]]&gt;0,VALUE(LEFT(Y902,1))*R902,0)</f>
        <v>0</v>
      </c>
      <c r="AA902" s="33">
        <f>IF($Z902&gt;0,VLOOKUP($J902,Ruimtegroepen[],3,FALSE)*VLOOKUP($L902,Vloersoorten[],3,FALSE)*VLOOKUP($Y902,Frequenties[],3,FALSE)*VLOOKUP(#REF!,Locaties[],3,FALSE),0)</f>
        <v>0</v>
      </c>
      <c r="AB902" s="33"/>
      <c r="AC902" s="33"/>
      <c r="AD902" s="33">
        <f>Ruimtestaat[[#This Row],[uren / jaar weekend]]*Tariefsopbouw!$D$40</f>
        <v>0</v>
      </c>
      <c r="AE902" s="86">
        <f>Ruimtestaat[[#This Row],[Prest. (m2 /jaar) weekend]]+Ruimtestaat[[#This Row],[Prest. (m2 /jaar) werkdagen]]</f>
        <v>5725.26</v>
      </c>
      <c r="AF902" s="86">
        <f>Ruimtestaat[[#This Row],[uren / jaar weekend]]+Ruimtestaat[[#This Row],[uren / jaar werkdagen]]</f>
        <v>0</v>
      </c>
      <c r="AG902" s="87">
        <f>Ruimtestaat[[#This Row],[kosten / jaar weekend]]+Ruimtestaat[[#This Row],[kosten / jaar werkdagen]]</f>
        <v>0</v>
      </c>
      <c r="HA902" s="4"/>
      <c r="HB902" s="4"/>
      <c r="HC902" s="4"/>
      <c r="HD902" s="4"/>
      <c r="HE902" s="4"/>
      <c r="HF902" s="4"/>
      <c r="HG902" s="4"/>
      <c r="HH902" s="4"/>
      <c r="HI902" s="4"/>
      <c r="HJ902" s="4"/>
      <c r="HK902" s="4"/>
    </row>
    <row r="903" spans="1:219" ht="15" customHeight="1">
      <c r="A903" s="187">
        <v>7</v>
      </c>
      <c r="B903" s="187" t="s">
        <v>670</v>
      </c>
      <c r="C903" s="231" t="s">
        <v>671</v>
      </c>
      <c r="D903" s="231" t="s">
        <v>672</v>
      </c>
      <c r="E903" s="187" t="s">
        <v>673</v>
      </c>
      <c r="F903" s="232"/>
      <c r="G903" s="187" t="s">
        <v>1305</v>
      </c>
      <c r="H903" s="187" t="s">
        <v>1347</v>
      </c>
      <c r="I903" s="232" t="s">
        <v>500</v>
      </c>
      <c r="J903" s="231">
        <v>10</v>
      </c>
      <c r="K903" s="231" t="str">
        <f>VLOOKUP(Ruimtestaat[[#This Row],[Ruimte code]],Ruimtegroepen[#All],2,FALSE)</f>
        <v>Trappenhuizen/lift</v>
      </c>
      <c r="L903" s="231" t="s">
        <v>1204</v>
      </c>
      <c r="M903" s="250" t="s">
        <v>1205</v>
      </c>
      <c r="N903" s="251">
        <v>15.11</v>
      </c>
      <c r="O903" s="190"/>
      <c r="P903" s="231" t="str">
        <f>VLOOKUP(Ruimtestaat[[#This Row],[Ruimte code]],Ruimtegroepen[#All],4,FALSE)</f>
        <v>V  (Verkeersruimte)</v>
      </c>
      <c r="Q903" s="201"/>
      <c r="R903" s="202">
        <v>51</v>
      </c>
      <c r="S903" s="202" t="s">
        <v>2</v>
      </c>
      <c r="T903" s="202">
        <f>IF(R903&gt;0,IF(RIGHT(Ruimtestaat[[#This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255</v>
      </c>
      <c r="U903" s="202">
        <f>IF(T903&gt;0,VLOOKUP($J903,Ruimtegroepen[],3,FALSE)*VLOOKUP($L903,Vloersoorten[],3,FALSE)*VLOOKUP($S903,Frequenties[],3,FALSE)*VLOOKUP($A903,Locaties[],3,FALSE),0)</f>
        <v>0</v>
      </c>
      <c r="V903" s="202">
        <f>Ruimtestaat[[#This Row],[Uitvoeringen werkdagen]]*Ruimtestaat[[#This Row],[Oppervlak (netto)]]</f>
        <v>3853.0499999999997</v>
      </c>
      <c r="W903" s="242">
        <f>IF(U903&gt;0,Ruimtestaat[[#This Row],[Prest. (m2 /jaar) werkdagen]]/Ruimtestaat[[#This Row],[Norm (m2/uur) werkdagen]],0)</f>
        <v>0</v>
      </c>
      <c r="X903" s="243">
        <f>Ruimtestaat[[#This Row],[uren / jaar werkdagen]]*Tariefsopbouw!$D$38</f>
        <v>0</v>
      </c>
      <c r="Y903" s="33"/>
      <c r="Z903" s="33">
        <f>IF(Ruimtestaat[[#This Row],[Frequentie weekend]]&gt;0,VALUE(LEFT(Y903,1))*R903,0)</f>
        <v>0</v>
      </c>
      <c r="AA903" s="33">
        <f>IF($Z903&gt;0,VLOOKUP($J903,Ruimtegroepen[],3,FALSE)*VLOOKUP($L903,Vloersoorten[],3,FALSE)*VLOOKUP($Y903,Frequenties[],3,FALSE)*VLOOKUP(#REF!,Locaties[],3,FALSE),0)</f>
        <v>0</v>
      </c>
      <c r="AB903" s="33"/>
      <c r="AC903" s="33"/>
      <c r="AD903" s="33">
        <f>Ruimtestaat[[#This Row],[uren / jaar weekend]]*Tariefsopbouw!$D$40</f>
        <v>0</v>
      </c>
      <c r="AE903" s="86">
        <f>Ruimtestaat[[#This Row],[Prest. (m2 /jaar) weekend]]+Ruimtestaat[[#This Row],[Prest. (m2 /jaar) werkdagen]]</f>
        <v>3853.0499999999997</v>
      </c>
      <c r="AF903" s="86">
        <f>Ruimtestaat[[#This Row],[uren / jaar weekend]]+Ruimtestaat[[#This Row],[uren / jaar werkdagen]]</f>
        <v>0</v>
      </c>
      <c r="AG903" s="87">
        <f>Ruimtestaat[[#This Row],[kosten / jaar weekend]]+Ruimtestaat[[#This Row],[kosten / jaar werkdagen]]</f>
        <v>0</v>
      </c>
      <c r="HA903" s="4"/>
      <c r="HB903" s="4"/>
      <c r="HC903" s="4"/>
      <c r="HD903" s="4"/>
      <c r="HE903" s="4"/>
      <c r="HF903" s="4"/>
      <c r="HG903" s="4"/>
      <c r="HH903" s="4"/>
      <c r="HI903" s="4"/>
      <c r="HJ903" s="4"/>
      <c r="HK903" s="4"/>
    </row>
    <row r="904" spans="1:219" ht="15" customHeight="1">
      <c r="A904" s="187">
        <v>7</v>
      </c>
      <c r="B904" s="187" t="s">
        <v>670</v>
      </c>
      <c r="C904" s="231" t="s">
        <v>671</v>
      </c>
      <c r="D904" s="231" t="s">
        <v>672</v>
      </c>
      <c r="E904" s="187" t="s">
        <v>673</v>
      </c>
      <c r="F904" s="232"/>
      <c r="G904" s="187" t="s">
        <v>1306</v>
      </c>
      <c r="H904" s="187" t="s">
        <v>1349</v>
      </c>
      <c r="I904" s="232" t="s">
        <v>1351</v>
      </c>
      <c r="J904" s="231">
        <v>2</v>
      </c>
      <c r="K904" s="231" t="str">
        <f>VLOOKUP(Ruimtestaat[[#This Row],[Ruimte code]],Ruimtegroepen[#All],2,FALSE)</f>
        <v>Kantoren/kantoortuin</v>
      </c>
      <c r="L904" s="231" t="s">
        <v>1204</v>
      </c>
      <c r="M904" s="187" t="s">
        <v>1205</v>
      </c>
      <c r="N904" s="251">
        <v>75.099999999999994</v>
      </c>
      <c r="O904" s="190"/>
      <c r="P904" s="231" t="str">
        <f>VLOOKUP(Ruimtestaat[[#This Row],[Ruimte code]],Ruimtegroepen[#All],4,FALSE)</f>
        <v>B  (Bureauruimte)</v>
      </c>
      <c r="Q904" s="201"/>
      <c r="R904" s="202">
        <v>51</v>
      </c>
      <c r="S904" s="202" t="s">
        <v>18</v>
      </c>
      <c r="T904" s="202">
        <f>IF(R904&gt;0,IF(RIGHT(Ruimtestaat[[#This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153</v>
      </c>
      <c r="U904" s="202">
        <f>IF(T904&gt;0,VLOOKUP($J904,Ruimtegroepen[],3,FALSE)*VLOOKUP($L904,Vloersoorten[],3,FALSE)*VLOOKUP($S904,Frequenties[],3,FALSE)*VLOOKUP($A904,Locaties[],3,FALSE),0)</f>
        <v>0</v>
      </c>
      <c r="V904" s="202">
        <f>Ruimtestaat[[#This Row],[Uitvoeringen werkdagen]]*Ruimtestaat[[#This Row],[Oppervlak (netto)]]</f>
        <v>11490.3</v>
      </c>
      <c r="W904" s="242">
        <f>IF(U904&gt;0,Ruimtestaat[[#This Row],[Prest. (m2 /jaar) werkdagen]]/Ruimtestaat[[#This Row],[Norm (m2/uur) werkdagen]],0)</f>
        <v>0</v>
      </c>
      <c r="X904" s="243">
        <f>Ruimtestaat[[#This Row],[uren / jaar werkdagen]]*Tariefsopbouw!$D$38</f>
        <v>0</v>
      </c>
      <c r="Y904" s="33"/>
      <c r="Z904" s="33">
        <f>IF(Ruimtestaat[[#This Row],[Frequentie weekend]]&gt;0,VALUE(LEFT(Y904,1))*R904,0)</f>
        <v>0</v>
      </c>
      <c r="AA904" s="33">
        <f>IF($Z904&gt;0,VLOOKUP($J904,Ruimtegroepen[],3,FALSE)*VLOOKUP($L904,Vloersoorten[],3,FALSE)*VLOOKUP($Y904,Frequenties[],3,FALSE)*VLOOKUP(#REF!,Locaties[],3,FALSE),0)</f>
        <v>0</v>
      </c>
      <c r="AB904" s="33"/>
      <c r="AC904" s="33"/>
      <c r="AD904" s="33">
        <f>Ruimtestaat[[#This Row],[uren / jaar weekend]]*Tariefsopbouw!$D$40</f>
        <v>0</v>
      </c>
      <c r="AE904" s="86">
        <f>Ruimtestaat[[#This Row],[Prest. (m2 /jaar) weekend]]+Ruimtestaat[[#This Row],[Prest. (m2 /jaar) werkdagen]]</f>
        <v>11490.3</v>
      </c>
      <c r="AF904" s="86">
        <f>Ruimtestaat[[#This Row],[uren / jaar weekend]]+Ruimtestaat[[#This Row],[uren / jaar werkdagen]]</f>
        <v>0</v>
      </c>
      <c r="AG904" s="87">
        <f>Ruimtestaat[[#This Row],[kosten / jaar weekend]]+Ruimtestaat[[#This Row],[kosten / jaar werkdagen]]</f>
        <v>0</v>
      </c>
      <c r="HA904" s="4"/>
      <c r="HB904" s="4"/>
      <c r="HC904" s="4"/>
      <c r="HD904" s="4"/>
      <c r="HE904" s="4"/>
      <c r="HF904" s="4"/>
      <c r="HG904" s="4"/>
      <c r="HH904" s="4"/>
      <c r="HI904" s="4"/>
      <c r="HJ904" s="4"/>
      <c r="HK904" s="4"/>
    </row>
    <row r="905" spans="1:219" ht="15" customHeight="1">
      <c r="A905" s="187">
        <v>7</v>
      </c>
      <c r="B905" s="187" t="s">
        <v>670</v>
      </c>
      <c r="C905" s="231" t="s">
        <v>671</v>
      </c>
      <c r="D905" s="231" t="s">
        <v>672</v>
      </c>
      <c r="E905" s="187" t="s">
        <v>673</v>
      </c>
      <c r="F905" s="232"/>
      <c r="G905" s="187" t="s">
        <v>1306</v>
      </c>
      <c r="H905" s="187" t="s">
        <v>1308</v>
      </c>
      <c r="I905" s="232" t="s">
        <v>1351</v>
      </c>
      <c r="J905" s="231">
        <v>2</v>
      </c>
      <c r="K905" s="231" t="str">
        <f>VLOOKUP(Ruimtestaat[[#This Row],[Ruimte code]],Ruimtegroepen[#All],2,FALSE)</f>
        <v>Kantoren/kantoortuin</v>
      </c>
      <c r="L905" s="231" t="s">
        <v>1204</v>
      </c>
      <c r="M905" s="187" t="s">
        <v>1205</v>
      </c>
      <c r="N905" s="251">
        <v>45.96</v>
      </c>
      <c r="O905" s="190"/>
      <c r="P905" s="231" t="str">
        <f>VLOOKUP(Ruimtestaat[[#This Row],[Ruimte code]],Ruimtegroepen[#All],4,FALSE)</f>
        <v>B  (Bureauruimte)</v>
      </c>
      <c r="Q905" s="201"/>
      <c r="R905" s="202">
        <v>51</v>
      </c>
      <c r="S905" s="202" t="s">
        <v>18</v>
      </c>
      <c r="T905" s="202">
        <f>IF(R905&gt;0,IF(RIGHT(Ruimtestaat[[#This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153</v>
      </c>
      <c r="U905" s="202">
        <f>IF(T905&gt;0,VLOOKUP($J905,Ruimtegroepen[],3,FALSE)*VLOOKUP($L905,Vloersoorten[],3,FALSE)*VLOOKUP($S905,Frequenties[],3,FALSE)*VLOOKUP($A905,Locaties[],3,FALSE),0)</f>
        <v>0</v>
      </c>
      <c r="V905" s="202">
        <f>Ruimtestaat[[#This Row],[Uitvoeringen werkdagen]]*Ruimtestaat[[#This Row],[Oppervlak (netto)]]</f>
        <v>7031.88</v>
      </c>
      <c r="W905" s="242">
        <f>IF(U905&gt;0,Ruimtestaat[[#This Row],[Prest. (m2 /jaar) werkdagen]]/Ruimtestaat[[#This Row],[Norm (m2/uur) werkdagen]],0)</f>
        <v>0</v>
      </c>
      <c r="X905" s="243">
        <f>Ruimtestaat[[#This Row],[uren / jaar werkdagen]]*Tariefsopbouw!$D$38</f>
        <v>0</v>
      </c>
      <c r="Y905" s="33"/>
      <c r="Z905" s="33">
        <f>IF(Ruimtestaat[[#This Row],[Frequentie weekend]]&gt;0,VALUE(LEFT(Y905,1))*R905,0)</f>
        <v>0</v>
      </c>
      <c r="AA905" s="33">
        <f>IF($Z905&gt;0,VLOOKUP($J905,Ruimtegroepen[],3,FALSE)*VLOOKUP($L905,Vloersoorten[],3,FALSE)*VLOOKUP($Y905,Frequenties[],3,FALSE)*VLOOKUP(#REF!,Locaties[],3,FALSE),0)</f>
        <v>0</v>
      </c>
      <c r="AB905" s="33"/>
      <c r="AC905" s="33"/>
      <c r="AD905" s="33">
        <f>Ruimtestaat[[#This Row],[uren / jaar weekend]]*Tariefsopbouw!$D$40</f>
        <v>0</v>
      </c>
      <c r="AE905" s="86">
        <f>Ruimtestaat[[#This Row],[Prest. (m2 /jaar) weekend]]+Ruimtestaat[[#This Row],[Prest. (m2 /jaar) werkdagen]]</f>
        <v>7031.88</v>
      </c>
      <c r="AF905" s="86">
        <f>Ruimtestaat[[#This Row],[uren / jaar weekend]]+Ruimtestaat[[#This Row],[uren / jaar werkdagen]]</f>
        <v>0</v>
      </c>
      <c r="AG905" s="87">
        <f>Ruimtestaat[[#This Row],[kosten / jaar weekend]]+Ruimtestaat[[#This Row],[kosten / jaar werkdagen]]</f>
        <v>0</v>
      </c>
      <c r="HA905" s="4"/>
      <c r="HB905" s="4"/>
      <c r="HC905" s="4"/>
      <c r="HD905" s="4"/>
      <c r="HE905" s="4"/>
      <c r="HF905" s="4"/>
      <c r="HG905" s="4"/>
      <c r="HH905" s="4"/>
      <c r="HI905" s="4"/>
      <c r="HJ905" s="4"/>
      <c r="HK905" s="4"/>
    </row>
    <row r="906" spans="1:219" ht="15" customHeight="1">
      <c r="A906" s="187">
        <v>7</v>
      </c>
      <c r="B906" s="187" t="s">
        <v>670</v>
      </c>
      <c r="C906" s="231" t="s">
        <v>671</v>
      </c>
      <c r="D906" s="231" t="s">
        <v>672</v>
      </c>
      <c r="E906" s="187" t="s">
        <v>673</v>
      </c>
      <c r="F906" s="232"/>
      <c r="G906" s="187" t="s">
        <v>1306</v>
      </c>
      <c r="H906" s="187" t="s">
        <v>1327</v>
      </c>
      <c r="I906" s="232" t="s">
        <v>1362</v>
      </c>
      <c r="J906" s="231">
        <v>2</v>
      </c>
      <c r="K906" s="231" t="str">
        <f>VLOOKUP(Ruimtestaat[[#This Row],[Ruimte code]],Ruimtegroepen[#All],2,FALSE)</f>
        <v>Kantoren/kantoortuin</v>
      </c>
      <c r="L906" s="231" t="s">
        <v>1204</v>
      </c>
      <c r="M906" s="187" t="s">
        <v>1205</v>
      </c>
      <c r="N906" s="251">
        <v>9.3000000000000007</v>
      </c>
      <c r="O906" s="190"/>
      <c r="P906" s="231" t="str">
        <f>VLOOKUP(Ruimtestaat[[#This Row],[Ruimte code]],Ruimtegroepen[#All],4,FALSE)</f>
        <v>B  (Bureauruimte)</v>
      </c>
      <c r="Q906" s="201"/>
      <c r="R906" s="202">
        <v>51</v>
      </c>
      <c r="S906" s="202" t="s">
        <v>18</v>
      </c>
      <c r="T906" s="202">
        <f>IF(R906&gt;0,IF(RIGHT(Ruimtestaat[[#This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153</v>
      </c>
      <c r="U906" s="202">
        <f>IF(T906&gt;0,VLOOKUP($J906,Ruimtegroepen[],3,FALSE)*VLOOKUP($L906,Vloersoorten[],3,FALSE)*VLOOKUP($S906,Frequenties[],3,FALSE)*VLOOKUP($A906,Locaties[],3,FALSE),0)</f>
        <v>0</v>
      </c>
      <c r="V906" s="202">
        <f>Ruimtestaat[[#This Row],[Uitvoeringen werkdagen]]*Ruimtestaat[[#This Row],[Oppervlak (netto)]]</f>
        <v>1422.9</v>
      </c>
      <c r="W906" s="242">
        <f>IF(U906&gt;0,Ruimtestaat[[#This Row],[Prest. (m2 /jaar) werkdagen]]/Ruimtestaat[[#This Row],[Norm (m2/uur) werkdagen]],0)</f>
        <v>0</v>
      </c>
      <c r="X906" s="243">
        <f>Ruimtestaat[[#This Row],[uren / jaar werkdagen]]*Tariefsopbouw!$D$38</f>
        <v>0</v>
      </c>
      <c r="Y906" s="33"/>
      <c r="Z906" s="33">
        <f>IF(Ruimtestaat[[#This Row],[Frequentie weekend]]&gt;0,VALUE(LEFT(Y906,1))*R906,0)</f>
        <v>0</v>
      </c>
      <c r="AA906" s="33">
        <f>IF($Z906&gt;0,VLOOKUP($J906,Ruimtegroepen[],3,FALSE)*VLOOKUP($L906,Vloersoorten[],3,FALSE)*VLOOKUP($Y906,Frequenties[],3,FALSE)*VLOOKUP(#REF!,Locaties[],3,FALSE),0)</f>
        <v>0</v>
      </c>
      <c r="AB906" s="33"/>
      <c r="AC906" s="33"/>
      <c r="AD906" s="33">
        <f>Ruimtestaat[[#This Row],[uren / jaar weekend]]*Tariefsopbouw!$D$40</f>
        <v>0</v>
      </c>
      <c r="AE906" s="86">
        <f>Ruimtestaat[[#This Row],[Prest. (m2 /jaar) weekend]]+Ruimtestaat[[#This Row],[Prest. (m2 /jaar) werkdagen]]</f>
        <v>1422.9</v>
      </c>
      <c r="AF906" s="86">
        <f>Ruimtestaat[[#This Row],[uren / jaar weekend]]+Ruimtestaat[[#This Row],[uren / jaar werkdagen]]</f>
        <v>0</v>
      </c>
      <c r="AG906" s="87">
        <f>Ruimtestaat[[#This Row],[kosten / jaar weekend]]+Ruimtestaat[[#This Row],[kosten / jaar werkdagen]]</f>
        <v>0</v>
      </c>
      <c r="HA906" s="4"/>
      <c r="HB906" s="4"/>
      <c r="HC906" s="4"/>
      <c r="HD906" s="4"/>
      <c r="HE906" s="4"/>
      <c r="HF906" s="4"/>
      <c r="HG906" s="4"/>
      <c r="HH906" s="4"/>
      <c r="HI906" s="4"/>
      <c r="HJ906" s="4"/>
      <c r="HK906" s="4"/>
    </row>
    <row r="907" spans="1:219" ht="15" customHeight="1">
      <c r="A907" s="187">
        <v>7</v>
      </c>
      <c r="B907" s="187" t="s">
        <v>670</v>
      </c>
      <c r="C907" s="231" t="s">
        <v>671</v>
      </c>
      <c r="D907" s="231" t="s">
        <v>672</v>
      </c>
      <c r="E907" s="187" t="s">
        <v>673</v>
      </c>
      <c r="F907" s="232"/>
      <c r="G907" s="187" t="s">
        <v>1306</v>
      </c>
      <c r="H907" s="187" t="s">
        <v>1336</v>
      </c>
      <c r="I907" s="232" t="s">
        <v>1362</v>
      </c>
      <c r="J907" s="231">
        <v>2</v>
      </c>
      <c r="K907" s="231" t="str">
        <f>VLOOKUP(Ruimtestaat[[#This Row],[Ruimte code]],Ruimtegroepen[#All],2,FALSE)</f>
        <v>Kantoren/kantoortuin</v>
      </c>
      <c r="L907" s="231" t="s">
        <v>1204</v>
      </c>
      <c r="M907" s="187" t="s">
        <v>1205</v>
      </c>
      <c r="N907" s="251">
        <v>5.74</v>
      </c>
      <c r="O907" s="190"/>
      <c r="P907" s="231" t="str">
        <f>VLOOKUP(Ruimtestaat[[#This Row],[Ruimte code]],Ruimtegroepen[#All],4,FALSE)</f>
        <v>B  (Bureauruimte)</v>
      </c>
      <c r="Q907" s="201"/>
      <c r="R907" s="202">
        <v>51</v>
      </c>
      <c r="S907" s="202" t="s">
        <v>18</v>
      </c>
      <c r="T907" s="202">
        <f>IF(R907&gt;0,IF(RIGHT(Ruimtestaat[[#This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153</v>
      </c>
      <c r="U907" s="202">
        <f>IF(T907&gt;0,VLOOKUP($J907,Ruimtegroepen[],3,FALSE)*VLOOKUP($L907,Vloersoorten[],3,FALSE)*VLOOKUP($S907,Frequenties[],3,FALSE)*VLOOKUP($A907,Locaties[],3,FALSE),0)</f>
        <v>0</v>
      </c>
      <c r="V907" s="202">
        <f>Ruimtestaat[[#This Row],[Uitvoeringen werkdagen]]*Ruimtestaat[[#This Row],[Oppervlak (netto)]]</f>
        <v>878.22</v>
      </c>
      <c r="W907" s="242">
        <f>IF(U907&gt;0,Ruimtestaat[[#This Row],[Prest. (m2 /jaar) werkdagen]]/Ruimtestaat[[#This Row],[Norm (m2/uur) werkdagen]],0)</f>
        <v>0</v>
      </c>
      <c r="X907" s="243">
        <f>Ruimtestaat[[#This Row],[uren / jaar werkdagen]]*Tariefsopbouw!$D$38</f>
        <v>0</v>
      </c>
      <c r="Y907" s="33"/>
      <c r="Z907" s="33">
        <f>IF(Ruimtestaat[[#This Row],[Frequentie weekend]]&gt;0,VALUE(LEFT(Y907,1))*R907,0)</f>
        <v>0</v>
      </c>
      <c r="AA907" s="33">
        <f>IF($Z907&gt;0,VLOOKUP($J907,Ruimtegroepen[],3,FALSE)*VLOOKUP($L907,Vloersoorten[],3,FALSE)*VLOOKUP($Y907,Frequenties[],3,FALSE)*VLOOKUP(#REF!,Locaties[],3,FALSE),0)</f>
        <v>0</v>
      </c>
      <c r="AB907" s="33"/>
      <c r="AC907" s="33"/>
      <c r="AD907" s="33">
        <f>Ruimtestaat[[#This Row],[uren / jaar weekend]]*Tariefsopbouw!$D$40</f>
        <v>0</v>
      </c>
      <c r="AE907" s="86">
        <f>Ruimtestaat[[#This Row],[Prest. (m2 /jaar) weekend]]+Ruimtestaat[[#This Row],[Prest. (m2 /jaar) werkdagen]]</f>
        <v>878.22</v>
      </c>
      <c r="AF907" s="86">
        <f>Ruimtestaat[[#This Row],[uren / jaar weekend]]+Ruimtestaat[[#This Row],[uren / jaar werkdagen]]</f>
        <v>0</v>
      </c>
      <c r="AG907" s="87">
        <f>Ruimtestaat[[#This Row],[kosten / jaar weekend]]+Ruimtestaat[[#This Row],[kosten / jaar werkdagen]]</f>
        <v>0</v>
      </c>
      <c r="HA907" s="4"/>
      <c r="HB907" s="4"/>
      <c r="HC907" s="4"/>
      <c r="HD907" s="4"/>
      <c r="HE907" s="4"/>
      <c r="HF907" s="4"/>
      <c r="HG907" s="4"/>
      <c r="HH907" s="4"/>
      <c r="HI907" s="4"/>
      <c r="HJ907" s="4"/>
      <c r="HK907" s="4"/>
    </row>
    <row r="908" spans="1:219" ht="15" customHeight="1">
      <c r="A908" s="187">
        <v>7</v>
      </c>
      <c r="B908" s="187" t="str">
        <f>VLOOKUP(Ruimtestaat[[#This Row],[Code]],Locaties[#All],2,FALSE)</f>
        <v>Bestuursbureau</v>
      </c>
      <c r="C908" s="231" t="str">
        <f>VLOOKUP(Ruimtestaat[[#This Row],[Code]],Locaties[#All],4,FALSE)</f>
        <v>Drienerparkweg 16</v>
      </c>
      <c r="D908" s="231" t="str">
        <f>VLOOKUP(Ruimtestaat[[#This Row],[Code]],Locaties[#All],5,FALSE)</f>
        <v>7552 EB</v>
      </c>
      <c r="E908" s="187" t="str">
        <f>VLOOKUP(Ruimtestaat[[#This Row],[Code]],Locaties[#All],6,FALSE)</f>
        <v>Hengelo</v>
      </c>
      <c r="F908" s="232"/>
      <c r="G908" s="187" t="s">
        <v>1306</v>
      </c>
      <c r="H908" s="187" t="s">
        <v>1337</v>
      </c>
      <c r="I908" s="232" t="s">
        <v>500</v>
      </c>
      <c r="J908" s="231">
        <v>10</v>
      </c>
      <c r="K908" s="231" t="str">
        <f>VLOOKUP(Ruimtestaat[[#This Row],[Ruimte code]],Ruimtegroepen[#All],2,FALSE)</f>
        <v>Trappenhuizen/lift</v>
      </c>
      <c r="L908" s="231" t="s">
        <v>1204</v>
      </c>
      <c r="M908" s="187" t="s">
        <v>1205</v>
      </c>
      <c r="N908" s="251">
        <v>2.34</v>
      </c>
      <c r="O908" s="190"/>
      <c r="P908" s="231" t="str">
        <f>VLOOKUP(Ruimtestaat[[#This Row],[Ruimte code]],Ruimtegroepen[#All],4,FALSE)</f>
        <v>V  (Verkeersruimte)</v>
      </c>
      <c r="Q908" s="201"/>
      <c r="R908" s="202">
        <v>51</v>
      </c>
      <c r="S908" s="202" t="s">
        <v>2</v>
      </c>
      <c r="T908" s="202">
        <f>IF(R908&gt;0,IF(RIGHT(Ruimtestaat[[#This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255</v>
      </c>
      <c r="U908" s="202">
        <f>IF(T908&gt;0,VLOOKUP($J908,Ruimtegroepen[],3,FALSE)*VLOOKUP($L908,Vloersoorten[],3,FALSE)*VLOOKUP($S908,Frequenties[],3,FALSE)*VLOOKUP($A908,Locaties[],3,FALSE),0)</f>
        <v>0</v>
      </c>
      <c r="V908" s="202">
        <f>Ruimtestaat[[#This Row],[Uitvoeringen werkdagen]]*Ruimtestaat[[#This Row],[Oppervlak (netto)]]</f>
        <v>596.69999999999993</v>
      </c>
      <c r="W908" s="242">
        <f>IF(U908&gt;0,Ruimtestaat[[#This Row],[Prest. (m2 /jaar) werkdagen]]/Ruimtestaat[[#This Row],[Norm (m2/uur) werkdagen]],0)</f>
        <v>0</v>
      </c>
      <c r="X908" s="243">
        <f>Ruimtestaat[[#This Row],[uren / jaar werkdagen]]*Tariefsopbouw!$D$38</f>
        <v>0</v>
      </c>
      <c r="Y908" s="33"/>
      <c r="Z908" s="33">
        <f>IF(Ruimtestaat[[#This Row],[Frequentie weekend]]&gt;0,VALUE(LEFT(Y908,1))*R908,0)</f>
        <v>0</v>
      </c>
      <c r="AA908" s="33">
        <f>IF($Z908&gt;0,VLOOKUP($J908,Ruimtegroepen[],3,FALSE)*VLOOKUP($L908,Vloersoorten[],3,FALSE)*VLOOKUP($Y908,Frequenties[],3,FALSE)*VLOOKUP(#REF!,Locaties[],3,FALSE),0)</f>
        <v>0</v>
      </c>
      <c r="AB908" s="33"/>
      <c r="AC908" s="33"/>
      <c r="AD908" s="33">
        <f>Ruimtestaat[[#This Row],[uren / jaar weekend]]*Tariefsopbouw!$D$40</f>
        <v>0</v>
      </c>
      <c r="AE908" s="86">
        <f>Ruimtestaat[[#This Row],[Prest. (m2 /jaar) weekend]]+Ruimtestaat[[#This Row],[Prest. (m2 /jaar) werkdagen]]</f>
        <v>596.69999999999993</v>
      </c>
      <c r="AF908" s="86">
        <f>Ruimtestaat[[#This Row],[uren / jaar weekend]]+Ruimtestaat[[#This Row],[uren / jaar werkdagen]]</f>
        <v>0</v>
      </c>
      <c r="AG908" s="87">
        <f>Ruimtestaat[[#This Row],[kosten / jaar weekend]]+Ruimtestaat[[#This Row],[kosten / jaar werkdagen]]</f>
        <v>0</v>
      </c>
    </row>
    <row r="909" spans="1:219" ht="15" customHeight="1">
      <c r="A909" s="187">
        <v>7</v>
      </c>
      <c r="B909" s="187" t="str">
        <f>VLOOKUP(Ruimtestaat[[#This Row],[Code]],Locaties[#All],2,FALSE)</f>
        <v>Bestuursbureau</v>
      </c>
      <c r="C909" s="231" t="str">
        <f>VLOOKUP(Ruimtestaat[[#This Row],[Code]],Locaties[#All],4,FALSE)</f>
        <v>Drienerparkweg 16</v>
      </c>
      <c r="D909" s="231" t="str">
        <f>VLOOKUP(Ruimtestaat[[#This Row],[Code]],Locaties[#All],5,FALSE)</f>
        <v>7552 EB</v>
      </c>
      <c r="E909" s="187" t="str">
        <f>VLOOKUP(Ruimtestaat[[#This Row],[Code]],Locaties[#All],6,FALSE)</f>
        <v>Hengelo</v>
      </c>
      <c r="F909" s="232"/>
      <c r="G909" s="187" t="s">
        <v>1307</v>
      </c>
      <c r="H909" s="187" t="s">
        <v>1363</v>
      </c>
      <c r="I909" s="232" t="s">
        <v>549</v>
      </c>
      <c r="J909" s="231">
        <v>6</v>
      </c>
      <c r="K909" s="231" t="str">
        <f>VLOOKUP(Ruimtestaat[[#This Row],[Ruimte code]],Ruimtegroepen[#All],2,FALSE)</f>
        <v>Gangen/hallen</v>
      </c>
      <c r="L909" s="231" t="s">
        <v>1204</v>
      </c>
      <c r="M909" s="187" t="s">
        <v>1205</v>
      </c>
      <c r="N909" s="251">
        <v>9.32</v>
      </c>
      <c r="O909" s="190"/>
      <c r="P909" s="231" t="str">
        <f>VLOOKUP(Ruimtestaat[[#This Row],[Ruimte code]],Ruimtegroepen[#All],4,FALSE)</f>
        <v>V  (Verkeersruimte)</v>
      </c>
      <c r="Q909" s="201"/>
      <c r="R909" s="202">
        <v>51</v>
      </c>
      <c r="S909" s="202" t="s">
        <v>2</v>
      </c>
      <c r="T909" s="202">
        <f>IF(R909&gt;0,IF(RIGHT(Ruimtestaat[[#This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255</v>
      </c>
      <c r="U909" s="202">
        <f>IF(T909&gt;0,VLOOKUP($J909,Ruimtegroepen[],3,FALSE)*VLOOKUP($L909,Vloersoorten[],3,FALSE)*VLOOKUP($S909,Frequenties[],3,FALSE)*VLOOKUP($A909,Locaties[],3,FALSE),0)</f>
        <v>0</v>
      </c>
      <c r="V909" s="202">
        <f>Ruimtestaat[[#This Row],[Uitvoeringen werkdagen]]*Ruimtestaat[[#This Row],[Oppervlak (netto)]]</f>
        <v>2376.6</v>
      </c>
      <c r="W909" s="242">
        <f>IF(U909&gt;0,Ruimtestaat[[#This Row],[Prest. (m2 /jaar) werkdagen]]/Ruimtestaat[[#This Row],[Norm (m2/uur) werkdagen]],0)</f>
        <v>0</v>
      </c>
      <c r="X909" s="243">
        <f>Ruimtestaat[[#This Row],[uren / jaar werkdagen]]*Tariefsopbouw!$D$38</f>
        <v>0</v>
      </c>
      <c r="Y909" s="33"/>
      <c r="Z909" s="33">
        <f>IF(Ruimtestaat[[#This Row],[Frequentie weekend]]&gt;0,VALUE(LEFT(Y909,1))*R909,0)</f>
        <v>0</v>
      </c>
      <c r="AA909" s="33">
        <f>IF($Z909&gt;0,VLOOKUP($J909,Ruimtegroepen[],3,FALSE)*VLOOKUP($L909,Vloersoorten[],3,FALSE)*VLOOKUP($Y909,Frequenties[],3,FALSE)*VLOOKUP(#REF!,Locaties[],3,FALSE),0)</f>
        <v>0</v>
      </c>
      <c r="AB909" s="33"/>
      <c r="AC909" s="33"/>
      <c r="AD909" s="33">
        <f>Ruimtestaat[[#This Row],[uren / jaar weekend]]*Tariefsopbouw!$D$40</f>
        <v>0</v>
      </c>
      <c r="AE909" s="86">
        <f>Ruimtestaat[[#This Row],[Prest. (m2 /jaar) weekend]]+Ruimtestaat[[#This Row],[Prest. (m2 /jaar) werkdagen]]</f>
        <v>2376.6</v>
      </c>
      <c r="AF909" s="86">
        <f>Ruimtestaat[[#This Row],[uren / jaar weekend]]+Ruimtestaat[[#This Row],[uren / jaar werkdagen]]</f>
        <v>0</v>
      </c>
      <c r="AG909" s="87">
        <f>Ruimtestaat[[#This Row],[kosten / jaar weekend]]+Ruimtestaat[[#This Row],[kosten / jaar werkdagen]]</f>
        <v>0</v>
      </c>
    </row>
    <row r="910" spans="1:219" ht="15" customHeight="1">
      <c r="A910" s="187">
        <v>7</v>
      </c>
      <c r="B910" s="187" t="str">
        <f>VLOOKUP(Ruimtestaat[[#This Row],[Code]],Locaties[#All],2,FALSE)</f>
        <v>Bestuursbureau</v>
      </c>
      <c r="C910" s="231" t="str">
        <f>VLOOKUP(Ruimtestaat[[#This Row],[Code]],Locaties[#All],4,FALSE)</f>
        <v>Drienerparkweg 16</v>
      </c>
      <c r="D910" s="231" t="str">
        <f>VLOOKUP(Ruimtestaat[[#This Row],[Code]],Locaties[#All],5,FALSE)</f>
        <v>7552 EB</v>
      </c>
      <c r="E910" s="187" t="str">
        <f>VLOOKUP(Ruimtestaat[[#This Row],[Code]],Locaties[#All],6,FALSE)</f>
        <v>Hengelo</v>
      </c>
      <c r="F910" s="232"/>
      <c r="G910" s="187" t="s">
        <v>1307</v>
      </c>
      <c r="H910" s="187" t="s">
        <v>1364</v>
      </c>
      <c r="I910" s="232" t="s">
        <v>676</v>
      </c>
      <c r="J910" s="231">
        <v>3</v>
      </c>
      <c r="K910" s="231" t="str">
        <f>VLOOKUP(Ruimtestaat[[#This Row],[Ruimte code]],Ruimtegroepen[#All],2,FALSE)</f>
        <v>Reproruimte</v>
      </c>
      <c r="L910" s="231" t="s">
        <v>1204</v>
      </c>
      <c r="M910" s="250" t="s">
        <v>1205</v>
      </c>
      <c r="N910" s="251">
        <v>17.25</v>
      </c>
      <c r="O910" s="190"/>
      <c r="P910" s="231" t="str">
        <f>VLOOKUP(Ruimtestaat[[#This Row],[Ruimte code]],Ruimtegroepen[#All],4,FALSE)</f>
        <v>V  (Verkeersruimte)</v>
      </c>
      <c r="Q910" s="201"/>
      <c r="R910" s="202">
        <v>51</v>
      </c>
      <c r="S910" s="202" t="s">
        <v>2</v>
      </c>
      <c r="T910" s="202">
        <f>IF(R910&gt;0,IF(RIGHT(Ruimtestaat[[#This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255</v>
      </c>
      <c r="U910" s="202">
        <f>IF(T910&gt;0,VLOOKUP($J910,Ruimtegroepen[],3,FALSE)*VLOOKUP($L910,Vloersoorten[],3,FALSE)*VLOOKUP($S910,Frequenties[],3,FALSE)*VLOOKUP($A910,Locaties[],3,FALSE),0)</f>
        <v>0</v>
      </c>
      <c r="V910" s="202">
        <f>Ruimtestaat[[#This Row],[Uitvoeringen werkdagen]]*Ruimtestaat[[#This Row],[Oppervlak (netto)]]</f>
        <v>4398.75</v>
      </c>
      <c r="W910" s="242">
        <f>IF(U910&gt;0,Ruimtestaat[[#This Row],[Prest. (m2 /jaar) werkdagen]]/Ruimtestaat[[#This Row],[Norm (m2/uur) werkdagen]],0)</f>
        <v>0</v>
      </c>
      <c r="X910" s="243">
        <f>Ruimtestaat[[#This Row],[uren / jaar werkdagen]]*Tariefsopbouw!$D$38</f>
        <v>0</v>
      </c>
      <c r="Y910" s="33"/>
      <c r="Z910" s="33">
        <f>IF(Ruimtestaat[[#This Row],[Frequentie weekend]]&gt;0,VALUE(LEFT(Y910,1))*R910,0)</f>
        <v>0</v>
      </c>
      <c r="AA910" s="33">
        <f>IF($Z910&gt;0,VLOOKUP($J910,Ruimtegroepen[],3,FALSE)*VLOOKUP($L910,Vloersoorten[],3,FALSE)*VLOOKUP($Y910,Frequenties[],3,FALSE)*VLOOKUP(#REF!,Locaties[],3,FALSE),0)</f>
        <v>0</v>
      </c>
      <c r="AB910" s="33"/>
      <c r="AC910" s="33"/>
      <c r="AD910" s="33">
        <f>Ruimtestaat[[#This Row],[uren / jaar weekend]]*Tariefsopbouw!$D$40</f>
        <v>0</v>
      </c>
      <c r="AE910" s="86">
        <f>Ruimtestaat[[#This Row],[Prest. (m2 /jaar) weekend]]+Ruimtestaat[[#This Row],[Prest. (m2 /jaar) werkdagen]]</f>
        <v>4398.75</v>
      </c>
      <c r="AF910" s="86">
        <f>Ruimtestaat[[#This Row],[uren / jaar weekend]]+Ruimtestaat[[#This Row],[uren / jaar werkdagen]]</f>
        <v>0</v>
      </c>
      <c r="AG910" s="87">
        <f>Ruimtestaat[[#This Row],[kosten / jaar weekend]]+Ruimtestaat[[#This Row],[kosten / jaar werkdagen]]</f>
        <v>0</v>
      </c>
    </row>
    <row r="911" spans="1:219" ht="15" customHeight="1">
      <c r="A911" s="187">
        <v>7</v>
      </c>
      <c r="B911" s="187" t="str">
        <f>VLOOKUP(Ruimtestaat[[#This Row],[Code]],Locaties[#All],2,FALSE)</f>
        <v>Bestuursbureau</v>
      </c>
      <c r="C911" s="231" t="str">
        <f>VLOOKUP(Ruimtestaat[[#This Row],[Code]],Locaties[#All],4,FALSE)</f>
        <v>Drienerparkweg 16</v>
      </c>
      <c r="D911" s="231" t="str">
        <f>VLOOKUP(Ruimtestaat[[#This Row],[Code]],Locaties[#All],5,FALSE)</f>
        <v>7552 EB</v>
      </c>
      <c r="E911" s="187" t="str">
        <f>VLOOKUP(Ruimtestaat[[#This Row],[Code]],Locaties[#All],6,FALSE)</f>
        <v>Hengelo</v>
      </c>
      <c r="F911" s="232"/>
      <c r="G911" s="187" t="s">
        <v>1307</v>
      </c>
      <c r="H911" s="187" t="s">
        <v>1365</v>
      </c>
      <c r="I911" s="232" t="s">
        <v>632</v>
      </c>
      <c r="J911" s="231">
        <v>20</v>
      </c>
      <c r="K911" s="231" t="str">
        <f>VLOOKUP(Ruimtestaat[[#This Row],[Ruimte code]],Ruimtegroepen[#All],2,FALSE)</f>
        <v>Niet in onderhoud</v>
      </c>
      <c r="L911" s="231"/>
      <c r="M911" s="250"/>
      <c r="N911" s="251">
        <v>17.46</v>
      </c>
      <c r="O911" s="190"/>
      <c r="P911" s="231" t="str">
        <f>VLOOKUP(Ruimtestaat[[#This Row],[Ruimte code]],Ruimtegroepen[#All],4,FALSE)</f>
        <v>V  (Verkeersruimte)</v>
      </c>
      <c r="Q911" s="201"/>
      <c r="R911" s="202"/>
      <c r="S911" s="202"/>
      <c r="T911" s="202">
        <f>IF(R911&gt;0,IF(RIGHT(Ruimtestaat[[#This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911" s="202">
        <f>IF(T911&gt;0,VLOOKUP($J911,Ruimtegroepen[],3,FALSE)*VLOOKUP($L911,Vloersoorten[],3,FALSE)*VLOOKUP($S911,Frequenties[],3,FALSE)*VLOOKUP($A911,Locaties[],3,FALSE),0)</f>
        <v>0</v>
      </c>
      <c r="V911" s="202">
        <f>Ruimtestaat[[#This Row],[Uitvoeringen werkdagen]]*Ruimtestaat[[#This Row],[Oppervlak (netto)]]</f>
        <v>0</v>
      </c>
      <c r="W911" s="242">
        <f>IF(U911&gt;0,Ruimtestaat[[#This Row],[Prest. (m2 /jaar) werkdagen]]/Ruimtestaat[[#This Row],[Norm (m2/uur) werkdagen]],0)</f>
        <v>0</v>
      </c>
      <c r="X911" s="243">
        <f>Ruimtestaat[[#This Row],[uren / jaar werkdagen]]*Tariefsopbouw!$D$38</f>
        <v>0</v>
      </c>
      <c r="Y911" s="33"/>
      <c r="Z911" s="33">
        <f>IF(Ruimtestaat[[#This Row],[Frequentie weekend]]&gt;0,VALUE(LEFT(Y911,1))*R911,0)</f>
        <v>0</v>
      </c>
      <c r="AA911" s="33">
        <f>IF($Z911&gt;0,VLOOKUP($J911,Ruimtegroepen[],3,FALSE)*VLOOKUP($L911,Vloersoorten[],3,FALSE)*VLOOKUP($Y911,Frequenties[],3,FALSE)*VLOOKUP(#REF!,Locaties[],3,FALSE),0)</f>
        <v>0</v>
      </c>
      <c r="AB911" s="33"/>
      <c r="AC911" s="33"/>
      <c r="AD911" s="33">
        <f>Ruimtestaat[[#This Row],[uren / jaar weekend]]*Tariefsopbouw!$D$40</f>
        <v>0</v>
      </c>
      <c r="AE911" s="86">
        <f>Ruimtestaat[[#This Row],[Prest. (m2 /jaar) weekend]]+Ruimtestaat[[#This Row],[Prest. (m2 /jaar) werkdagen]]</f>
        <v>0</v>
      </c>
      <c r="AF911" s="86">
        <f>Ruimtestaat[[#This Row],[uren / jaar weekend]]+Ruimtestaat[[#This Row],[uren / jaar werkdagen]]</f>
        <v>0</v>
      </c>
      <c r="AG911" s="87">
        <f>Ruimtestaat[[#This Row],[kosten / jaar weekend]]+Ruimtestaat[[#This Row],[kosten / jaar werkdagen]]</f>
        <v>0</v>
      </c>
    </row>
    <row r="912" spans="1:219" ht="15" customHeight="1">
      <c r="A912" s="187">
        <v>7</v>
      </c>
      <c r="B912" s="187" t="str">
        <f>VLOOKUP(Ruimtestaat[[#This Row],[Code]],Locaties[#All],2,FALSE)</f>
        <v>Bestuursbureau</v>
      </c>
      <c r="C912" s="231" t="str">
        <f>VLOOKUP(Ruimtestaat[[#This Row],[Code]],Locaties[#All],4,FALSE)</f>
        <v>Drienerparkweg 16</v>
      </c>
      <c r="D912" s="231" t="str">
        <f>VLOOKUP(Ruimtestaat[[#This Row],[Code]],Locaties[#All],5,FALSE)</f>
        <v>7552 EB</v>
      </c>
      <c r="E912" s="187" t="str">
        <f>VLOOKUP(Ruimtestaat[[#This Row],[Code]],Locaties[#All],6,FALSE)</f>
        <v>Hengelo</v>
      </c>
      <c r="F912" s="232"/>
      <c r="G912" s="187" t="s">
        <v>1307</v>
      </c>
      <c r="H912" s="187" t="s">
        <v>1366</v>
      </c>
      <c r="I912" s="232" t="s">
        <v>1367</v>
      </c>
      <c r="J912" s="231">
        <v>1</v>
      </c>
      <c r="K912" s="231" t="str">
        <f>VLOOKUP(Ruimtestaat[[#This Row],[Ruimte code]],Ruimtegroepen[#All],2,FALSE)</f>
        <v>Magazijnen/bergingen</v>
      </c>
      <c r="L912" s="231" t="s">
        <v>1204</v>
      </c>
      <c r="M912" s="187" t="s">
        <v>1205</v>
      </c>
      <c r="N912" s="251">
        <v>26.26</v>
      </c>
      <c r="O912" s="190"/>
      <c r="P912" s="231" t="str">
        <f>VLOOKUP(Ruimtestaat[[#This Row],[Ruimte code]],Ruimtegroepen[#All],4,FALSE)</f>
        <v>V  (Verkeersruimte)</v>
      </c>
      <c r="Q912" s="201"/>
      <c r="R912" s="202">
        <v>51</v>
      </c>
      <c r="S912" s="202" t="s">
        <v>16</v>
      </c>
      <c r="T912" s="202">
        <f>IF(R912&gt;0,IF(RIGHT(Ruimtestaat[[#This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912" s="202">
        <f>IF(T912&gt;0,VLOOKUP($J912,Ruimtegroepen[],3,FALSE)*VLOOKUP($L912,Vloersoorten[],3,FALSE)*VLOOKUP($S912,Frequenties[],3,FALSE)*VLOOKUP($A912,Locaties[],3,FALSE),0)</f>
        <v>0</v>
      </c>
      <c r="V912" s="202">
        <f>Ruimtestaat[[#This Row],[Uitvoeringen werkdagen]]*Ruimtestaat[[#This Row],[Oppervlak (netto)]]</f>
        <v>315.12</v>
      </c>
      <c r="W912" s="242">
        <f>IF(U912&gt;0,Ruimtestaat[[#This Row],[Prest. (m2 /jaar) werkdagen]]/Ruimtestaat[[#This Row],[Norm (m2/uur) werkdagen]],0)</f>
        <v>0</v>
      </c>
      <c r="X912" s="243">
        <f>Ruimtestaat[[#This Row],[uren / jaar werkdagen]]*Tariefsopbouw!$D$38</f>
        <v>0</v>
      </c>
      <c r="Y912" s="33"/>
      <c r="Z912" s="33">
        <f>IF(Ruimtestaat[[#This Row],[Frequentie weekend]]&gt;0,VALUE(LEFT(Y912,1))*R912,0)</f>
        <v>0</v>
      </c>
      <c r="AA912" s="33">
        <f>IF($Z912&gt;0,VLOOKUP($J912,Ruimtegroepen[],3,FALSE)*VLOOKUP($L912,Vloersoorten[],3,FALSE)*VLOOKUP($Y912,Frequenties[],3,FALSE)*VLOOKUP(#REF!,Locaties[],3,FALSE),0)</f>
        <v>0</v>
      </c>
      <c r="AB912" s="33"/>
      <c r="AC912" s="33"/>
      <c r="AD912" s="33">
        <f>Ruimtestaat[[#This Row],[uren / jaar weekend]]*Tariefsopbouw!$D$40</f>
        <v>0</v>
      </c>
      <c r="AE912" s="86">
        <f>Ruimtestaat[[#This Row],[Prest. (m2 /jaar) weekend]]+Ruimtestaat[[#This Row],[Prest. (m2 /jaar) werkdagen]]</f>
        <v>315.12</v>
      </c>
      <c r="AF912" s="86">
        <f>Ruimtestaat[[#This Row],[uren / jaar weekend]]+Ruimtestaat[[#This Row],[uren / jaar werkdagen]]</f>
        <v>0</v>
      </c>
      <c r="AG912" s="87">
        <f>Ruimtestaat[[#This Row],[kosten / jaar weekend]]+Ruimtestaat[[#This Row],[kosten / jaar werkdagen]]</f>
        <v>0</v>
      </c>
    </row>
    <row r="913" spans="1:33" ht="15" customHeight="1">
      <c r="A913" s="187">
        <v>7</v>
      </c>
      <c r="B913" s="187" t="str">
        <f>VLOOKUP(Ruimtestaat[[#This Row],[Code]],Locaties[#All],2,FALSE)</f>
        <v>Bestuursbureau</v>
      </c>
      <c r="C913" s="231" t="str">
        <f>VLOOKUP(Ruimtestaat[[#This Row],[Code]],Locaties[#All],4,FALSE)</f>
        <v>Drienerparkweg 16</v>
      </c>
      <c r="D913" s="231" t="str">
        <f>VLOOKUP(Ruimtestaat[[#This Row],[Code]],Locaties[#All],5,FALSE)</f>
        <v>7552 EB</v>
      </c>
      <c r="E913" s="187" t="str">
        <f>VLOOKUP(Ruimtestaat[[#This Row],[Code]],Locaties[#All],6,FALSE)</f>
        <v>Hengelo</v>
      </c>
      <c r="F913" s="232"/>
      <c r="G913" s="187" t="s">
        <v>1307</v>
      </c>
      <c r="H913" s="187" t="s">
        <v>1368</v>
      </c>
      <c r="I913" s="232" t="s">
        <v>1369</v>
      </c>
      <c r="J913" s="231">
        <v>2</v>
      </c>
      <c r="K913" s="231" t="str">
        <f>VLOOKUP(Ruimtestaat[[#This Row],[Ruimte code]],Ruimtegroepen[#All],2,FALSE)</f>
        <v>Kantoren/kantoortuin</v>
      </c>
      <c r="L913" s="231" t="s">
        <v>1204</v>
      </c>
      <c r="M913" s="187" t="s">
        <v>1205</v>
      </c>
      <c r="N913" s="251">
        <v>77.27</v>
      </c>
      <c r="O913" s="190"/>
      <c r="P913" s="231" t="str">
        <f>VLOOKUP(Ruimtestaat[[#This Row],[Ruimte code]],Ruimtegroepen[#All],4,FALSE)</f>
        <v>B  (Bureauruimte)</v>
      </c>
      <c r="Q913" s="201"/>
      <c r="R913" s="202">
        <v>51</v>
      </c>
      <c r="S913" s="202" t="s">
        <v>18</v>
      </c>
      <c r="T913" s="202">
        <f>IF(R913&gt;0,IF(RIGHT(Ruimtestaat[[#This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153</v>
      </c>
      <c r="U913" s="202">
        <f>IF(T913&gt;0,VLOOKUP($J913,Ruimtegroepen[],3,FALSE)*VLOOKUP($L913,Vloersoorten[],3,FALSE)*VLOOKUP($S913,Frequenties[],3,FALSE)*VLOOKUP($A913,Locaties[],3,FALSE),0)</f>
        <v>0</v>
      </c>
      <c r="V913" s="202">
        <f>Ruimtestaat[[#This Row],[Uitvoeringen werkdagen]]*Ruimtestaat[[#This Row],[Oppervlak (netto)]]</f>
        <v>11822.31</v>
      </c>
      <c r="W913" s="242">
        <f>IF(U913&gt;0,Ruimtestaat[[#This Row],[Prest. (m2 /jaar) werkdagen]]/Ruimtestaat[[#This Row],[Norm (m2/uur) werkdagen]],0)</f>
        <v>0</v>
      </c>
      <c r="X913" s="243">
        <f>Ruimtestaat[[#This Row],[uren / jaar werkdagen]]*Tariefsopbouw!$D$38</f>
        <v>0</v>
      </c>
      <c r="Y913" s="33"/>
      <c r="Z913" s="33">
        <f>IF(Ruimtestaat[[#This Row],[Frequentie weekend]]&gt;0,VALUE(LEFT(Y913,1))*R913,0)</f>
        <v>0</v>
      </c>
      <c r="AA913" s="33">
        <f>IF($Z913&gt;0,VLOOKUP($J913,Ruimtegroepen[],3,FALSE)*VLOOKUP($L913,Vloersoorten[],3,FALSE)*VLOOKUP($Y913,Frequenties[],3,FALSE)*VLOOKUP(#REF!,Locaties[],3,FALSE),0)</f>
        <v>0</v>
      </c>
      <c r="AB913" s="33"/>
      <c r="AC913" s="33"/>
      <c r="AD913" s="33">
        <f>Ruimtestaat[[#This Row],[uren / jaar weekend]]*Tariefsopbouw!$D$40</f>
        <v>0</v>
      </c>
      <c r="AE913" s="86">
        <f>Ruimtestaat[[#This Row],[Prest. (m2 /jaar) weekend]]+Ruimtestaat[[#This Row],[Prest. (m2 /jaar) werkdagen]]</f>
        <v>11822.31</v>
      </c>
      <c r="AF913" s="86">
        <f>Ruimtestaat[[#This Row],[uren / jaar weekend]]+Ruimtestaat[[#This Row],[uren / jaar werkdagen]]</f>
        <v>0</v>
      </c>
      <c r="AG913" s="87">
        <f>Ruimtestaat[[#This Row],[kosten / jaar weekend]]+Ruimtestaat[[#This Row],[kosten / jaar werkdagen]]</f>
        <v>0</v>
      </c>
    </row>
    <row r="914" spans="1:33" ht="15" customHeight="1">
      <c r="A914" s="187">
        <v>7</v>
      </c>
      <c r="B914" s="187" t="str">
        <f>VLOOKUP(Ruimtestaat[[#This Row],[Code]],Locaties[#All],2,FALSE)</f>
        <v>Bestuursbureau</v>
      </c>
      <c r="C914" s="231" t="str">
        <f>VLOOKUP(Ruimtestaat[[#This Row],[Code]],Locaties[#All],4,FALSE)</f>
        <v>Drienerparkweg 16</v>
      </c>
      <c r="D914" s="231" t="str">
        <f>VLOOKUP(Ruimtestaat[[#This Row],[Code]],Locaties[#All],5,FALSE)</f>
        <v>7552 EB</v>
      </c>
      <c r="E914" s="187" t="str">
        <f>VLOOKUP(Ruimtestaat[[#This Row],[Code]],Locaties[#All],6,FALSE)</f>
        <v>Hengelo</v>
      </c>
      <c r="F914" s="232"/>
      <c r="G914" s="187" t="s">
        <v>1307</v>
      </c>
      <c r="H914" s="187" t="s">
        <v>1370</v>
      </c>
      <c r="I914" s="232" t="s">
        <v>1320</v>
      </c>
      <c r="J914" s="231">
        <v>2</v>
      </c>
      <c r="K914" s="231" t="str">
        <f>VLOOKUP(Ruimtestaat[[#This Row],[Ruimte code]],Ruimtegroepen[#All],2,FALSE)</f>
        <v>Kantoren/kantoortuin</v>
      </c>
      <c r="L914" s="231" t="s">
        <v>1204</v>
      </c>
      <c r="M914" s="187" t="s">
        <v>1205</v>
      </c>
      <c r="N914" s="251">
        <v>8.9499999999999993</v>
      </c>
      <c r="O914" s="190"/>
      <c r="P914" s="231" t="str">
        <f>VLOOKUP(Ruimtestaat[[#This Row],[Ruimte code]],Ruimtegroepen[#All],4,FALSE)</f>
        <v>B  (Bureauruimte)</v>
      </c>
      <c r="Q914" s="201"/>
      <c r="R914" s="202">
        <v>51</v>
      </c>
      <c r="S914" s="202" t="s">
        <v>18</v>
      </c>
      <c r="T914" s="202">
        <f>IF(R914&gt;0,IF(RIGHT(Ruimtestaat[[#This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153</v>
      </c>
      <c r="U914" s="202">
        <f>IF(T914&gt;0,VLOOKUP($J914,Ruimtegroepen[],3,FALSE)*VLOOKUP($L914,Vloersoorten[],3,FALSE)*VLOOKUP($S914,Frequenties[],3,FALSE)*VLOOKUP($A914,Locaties[],3,FALSE),0)</f>
        <v>0</v>
      </c>
      <c r="V914" s="202">
        <f>Ruimtestaat[[#This Row],[Uitvoeringen werkdagen]]*Ruimtestaat[[#This Row],[Oppervlak (netto)]]</f>
        <v>1369.35</v>
      </c>
      <c r="W914" s="242">
        <f>IF(U914&gt;0,Ruimtestaat[[#This Row],[Prest. (m2 /jaar) werkdagen]]/Ruimtestaat[[#This Row],[Norm (m2/uur) werkdagen]],0)</f>
        <v>0</v>
      </c>
      <c r="X914" s="243">
        <f>Ruimtestaat[[#This Row],[uren / jaar werkdagen]]*Tariefsopbouw!$D$38</f>
        <v>0</v>
      </c>
      <c r="Y914" s="33"/>
      <c r="Z914" s="33">
        <f>IF(Ruimtestaat[[#This Row],[Frequentie weekend]]&gt;0,VALUE(LEFT(Y914,1))*R914,0)</f>
        <v>0</v>
      </c>
      <c r="AA914" s="33">
        <f>IF($Z914&gt;0,VLOOKUP($J914,Ruimtegroepen[],3,FALSE)*VLOOKUP($L914,Vloersoorten[],3,FALSE)*VLOOKUP($Y914,Frequenties[],3,FALSE)*VLOOKUP(#REF!,Locaties[],3,FALSE),0)</f>
        <v>0</v>
      </c>
      <c r="AB914" s="33"/>
      <c r="AC914" s="33"/>
      <c r="AD914" s="33">
        <f>Ruimtestaat[[#This Row],[uren / jaar weekend]]*Tariefsopbouw!$D$40</f>
        <v>0</v>
      </c>
      <c r="AE914" s="86">
        <f>Ruimtestaat[[#This Row],[Prest. (m2 /jaar) weekend]]+Ruimtestaat[[#This Row],[Prest. (m2 /jaar) werkdagen]]</f>
        <v>1369.35</v>
      </c>
      <c r="AF914" s="86">
        <f>Ruimtestaat[[#This Row],[uren / jaar weekend]]+Ruimtestaat[[#This Row],[uren / jaar werkdagen]]</f>
        <v>0</v>
      </c>
      <c r="AG914" s="87">
        <f>Ruimtestaat[[#This Row],[kosten / jaar weekend]]+Ruimtestaat[[#This Row],[kosten / jaar werkdagen]]</f>
        <v>0</v>
      </c>
    </row>
    <row r="915" spans="1:33" ht="15" customHeight="1">
      <c r="A915" s="187">
        <v>7</v>
      </c>
      <c r="B915" s="187" t="str">
        <f>VLOOKUP(Ruimtestaat[[#This Row],[Code]],Locaties[#All],2,FALSE)</f>
        <v>Bestuursbureau</v>
      </c>
      <c r="C915" s="231" t="str">
        <f>VLOOKUP(Ruimtestaat[[#This Row],[Code]],Locaties[#All],4,FALSE)</f>
        <v>Drienerparkweg 16</v>
      </c>
      <c r="D915" s="231" t="str">
        <f>VLOOKUP(Ruimtestaat[[#This Row],[Code]],Locaties[#All],5,FALSE)</f>
        <v>7552 EB</v>
      </c>
      <c r="E915" s="187" t="str">
        <f>VLOOKUP(Ruimtestaat[[#This Row],[Code]],Locaties[#All],6,FALSE)</f>
        <v>Hengelo</v>
      </c>
      <c r="F915" s="232"/>
      <c r="G915" s="187" t="s">
        <v>1307</v>
      </c>
      <c r="H915" s="187" t="s">
        <v>1371</v>
      </c>
      <c r="I915" s="232" t="s">
        <v>1372</v>
      </c>
      <c r="J915" s="231">
        <v>1</v>
      </c>
      <c r="K915" s="231" t="str">
        <f>VLOOKUP(Ruimtestaat[[#This Row],[Ruimte code]],Ruimtegroepen[#All],2,FALSE)</f>
        <v>Magazijnen/bergingen</v>
      </c>
      <c r="L915" s="231" t="s">
        <v>1204</v>
      </c>
      <c r="M915" s="187" t="s">
        <v>1205</v>
      </c>
      <c r="N915" s="251">
        <v>48.84</v>
      </c>
      <c r="O915" s="190"/>
      <c r="P915" s="231" t="str">
        <f>VLOOKUP(Ruimtestaat[[#This Row],[Ruimte code]],Ruimtegroepen[#All],4,FALSE)</f>
        <v>V  (Verkeersruimte)</v>
      </c>
      <c r="Q915" s="201"/>
      <c r="R915" s="202">
        <v>51</v>
      </c>
      <c r="S915" s="202" t="s">
        <v>16</v>
      </c>
      <c r="T915" s="202">
        <f>IF(R915&gt;0,IF(RIGHT(Ruimtestaat[[#This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915" s="202">
        <f>IF(T915&gt;0,VLOOKUP($J915,Ruimtegroepen[],3,FALSE)*VLOOKUP($L915,Vloersoorten[],3,FALSE)*VLOOKUP($S915,Frequenties[],3,FALSE)*VLOOKUP($A915,Locaties[],3,FALSE),0)</f>
        <v>0</v>
      </c>
      <c r="V915" s="202">
        <f>Ruimtestaat[[#This Row],[Uitvoeringen werkdagen]]*Ruimtestaat[[#This Row],[Oppervlak (netto)]]</f>
        <v>586.08000000000004</v>
      </c>
      <c r="W915" s="242">
        <f>IF(U915&gt;0,Ruimtestaat[[#This Row],[Prest. (m2 /jaar) werkdagen]]/Ruimtestaat[[#This Row],[Norm (m2/uur) werkdagen]],0)</f>
        <v>0</v>
      </c>
      <c r="X915" s="243">
        <f>Ruimtestaat[[#This Row],[uren / jaar werkdagen]]*Tariefsopbouw!$D$38</f>
        <v>0</v>
      </c>
      <c r="Y915" s="33"/>
      <c r="Z915" s="33">
        <f>IF(Ruimtestaat[[#This Row],[Frequentie weekend]]&gt;0,VALUE(LEFT(Y915,1))*R915,0)</f>
        <v>0</v>
      </c>
      <c r="AA915" s="33">
        <f>IF($Z915&gt;0,VLOOKUP($J915,Ruimtegroepen[],3,FALSE)*VLOOKUP($L915,Vloersoorten[],3,FALSE)*VLOOKUP($Y915,Frequenties[],3,FALSE)*VLOOKUP(#REF!,Locaties[],3,FALSE),0)</f>
        <v>0</v>
      </c>
      <c r="AB915" s="33"/>
      <c r="AC915" s="33"/>
      <c r="AD915" s="33">
        <f>Ruimtestaat[[#This Row],[uren / jaar weekend]]*Tariefsopbouw!$D$40</f>
        <v>0</v>
      </c>
      <c r="AE915" s="86">
        <f>Ruimtestaat[[#This Row],[Prest. (m2 /jaar) weekend]]+Ruimtestaat[[#This Row],[Prest. (m2 /jaar) werkdagen]]</f>
        <v>586.08000000000004</v>
      </c>
      <c r="AF915" s="86">
        <f>Ruimtestaat[[#This Row],[uren / jaar weekend]]+Ruimtestaat[[#This Row],[uren / jaar werkdagen]]</f>
        <v>0</v>
      </c>
      <c r="AG915" s="87">
        <f>Ruimtestaat[[#This Row],[kosten / jaar weekend]]+Ruimtestaat[[#This Row],[kosten / jaar werkdagen]]</f>
        <v>0</v>
      </c>
    </row>
    <row r="916" spans="1:33" ht="15" customHeight="1">
      <c r="A916" s="187">
        <v>7</v>
      </c>
      <c r="B916" s="187" t="str">
        <f>VLOOKUP(Ruimtestaat[[#This Row],[Code]],Locaties[#All],2,FALSE)</f>
        <v>Bestuursbureau</v>
      </c>
      <c r="C916" s="231" t="str">
        <f>VLOOKUP(Ruimtestaat[[#This Row],[Code]],Locaties[#All],4,FALSE)</f>
        <v>Drienerparkweg 16</v>
      </c>
      <c r="D916" s="231" t="str">
        <f>VLOOKUP(Ruimtestaat[[#This Row],[Code]],Locaties[#All],5,FALSE)</f>
        <v>7552 EB</v>
      </c>
      <c r="E916" s="187" t="str">
        <f>VLOOKUP(Ruimtestaat[[#This Row],[Code]],Locaties[#All],6,FALSE)</f>
        <v>Hengelo</v>
      </c>
      <c r="F916" s="232"/>
      <c r="G916" s="187" t="s">
        <v>1307</v>
      </c>
      <c r="H916" s="187" t="s">
        <v>1373</v>
      </c>
      <c r="I916" s="232" t="s">
        <v>414</v>
      </c>
      <c r="J916" s="231">
        <v>6</v>
      </c>
      <c r="K916" s="231" t="str">
        <f>VLOOKUP(Ruimtestaat[[#This Row],[Ruimte code]],Ruimtegroepen[#All],2,FALSE)</f>
        <v>Gangen/hallen</v>
      </c>
      <c r="L916" s="231" t="s">
        <v>1204</v>
      </c>
      <c r="M916" s="187" t="s">
        <v>1205</v>
      </c>
      <c r="N916" s="251">
        <v>3.41</v>
      </c>
      <c r="O916" s="190"/>
      <c r="P916" s="231" t="str">
        <f>VLOOKUP(Ruimtestaat[[#This Row],[Ruimte code]],Ruimtegroepen[#All],4,FALSE)</f>
        <v>V  (Verkeersruimte)</v>
      </c>
      <c r="Q916" s="201"/>
      <c r="R916" s="202">
        <v>51</v>
      </c>
      <c r="S916" s="202" t="s">
        <v>2</v>
      </c>
      <c r="T916" s="202">
        <f>IF(R916&gt;0,IF(RIGHT(Ruimtestaat[[#This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255</v>
      </c>
      <c r="U916" s="202">
        <f>IF(T916&gt;0,VLOOKUP($J916,Ruimtegroepen[],3,FALSE)*VLOOKUP($L916,Vloersoorten[],3,FALSE)*VLOOKUP($S916,Frequenties[],3,FALSE)*VLOOKUP($A916,Locaties[],3,FALSE),0)</f>
        <v>0</v>
      </c>
      <c r="V916" s="202">
        <f>Ruimtestaat[[#This Row],[Uitvoeringen werkdagen]]*Ruimtestaat[[#This Row],[Oppervlak (netto)]]</f>
        <v>869.55000000000007</v>
      </c>
      <c r="W916" s="242">
        <f>IF(U916&gt;0,Ruimtestaat[[#This Row],[Prest. (m2 /jaar) werkdagen]]/Ruimtestaat[[#This Row],[Norm (m2/uur) werkdagen]],0)</f>
        <v>0</v>
      </c>
      <c r="X916" s="243">
        <f>Ruimtestaat[[#This Row],[uren / jaar werkdagen]]*Tariefsopbouw!$D$38</f>
        <v>0</v>
      </c>
      <c r="Y916" s="33"/>
      <c r="Z916" s="33">
        <f>IF(Ruimtestaat[[#This Row],[Frequentie weekend]]&gt;0,VALUE(LEFT(Y916,1))*R916,0)</f>
        <v>0</v>
      </c>
      <c r="AA916" s="33">
        <f>IF($Z916&gt;0,VLOOKUP($J916,Ruimtegroepen[],3,FALSE)*VLOOKUP($L916,Vloersoorten[],3,FALSE)*VLOOKUP($Y916,Frequenties[],3,FALSE)*VLOOKUP(#REF!,Locaties[],3,FALSE),0)</f>
        <v>0</v>
      </c>
      <c r="AB916" s="33"/>
      <c r="AC916" s="33"/>
      <c r="AD916" s="33">
        <f>Ruimtestaat[[#This Row],[uren / jaar weekend]]*Tariefsopbouw!$D$40</f>
        <v>0</v>
      </c>
      <c r="AE916" s="86">
        <f>Ruimtestaat[[#This Row],[Prest. (m2 /jaar) weekend]]+Ruimtestaat[[#This Row],[Prest. (m2 /jaar) werkdagen]]</f>
        <v>869.55000000000007</v>
      </c>
      <c r="AF916" s="86">
        <f>Ruimtestaat[[#This Row],[uren / jaar weekend]]+Ruimtestaat[[#This Row],[uren / jaar werkdagen]]</f>
        <v>0</v>
      </c>
      <c r="AG916" s="87">
        <f>Ruimtestaat[[#This Row],[kosten / jaar weekend]]+Ruimtestaat[[#This Row],[kosten / jaar werkdagen]]</f>
        <v>0</v>
      </c>
    </row>
    <row r="917" spans="1:33" ht="15" customHeight="1">
      <c r="A917" s="187">
        <v>7</v>
      </c>
      <c r="B917" s="187" t="str">
        <f>VLOOKUP(Ruimtestaat[[#This Row],[Code]],Locaties[#All],2,FALSE)</f>
        <v>Bestuursbureau</v>
      </c>
      <c r="C917" s="231" t="str">
        <f>VLOOKUP(Ruimtestaat[[#This Row],[Code]],Locaties[#All],4,FALSE)</f>
        <v>Drienerparkweg 16</v>
      </c>
      <c r="D917" s="231" t="str">
        <f>VLOOKUP(Ruimtestaat[[#This Row],[Code]],Locaties[#All],5,FALSE)</f>
        <v>7552 EB</v>
      </c>
      <c r="E917" s="187" t="str">
        <f>VLOOKUP(Ruimtestaat[[#This Row],[Code]],Locaties[#All],6,FALSE)</f>
        <v>Hengelo</v>
      </c>
      <c r="F917" s="232"/>
      <c r="G917" s="187" t="s">
        <v>1307</v>
      </c>
      <c r="H917" s="187" t="s">
        <v>1374</v>
      </c>
      <c r="I917" s="232" t="s">
        <v>1375</v>
      </c>
      <c r="J917" s="231">
        <v>20</v>
      </c>
      <c r="K917" s="231" t="str">
        <f>VLOOKUP(Ruimtestaat[[#This Row],[Ruimte code]],Ruimtegroepen[#All],2,FALSE)</f>
        <v>Niet in onderhoud</v>
      </c>
      <c r="L917" s="231" t="s">
        <v>1204</v>
      </c>
      <c r="M917" s="187" t="s">
        <v>1205</v>
      </c>
      <c r="N917" s="251">
        <v>35.07</v>
      </c>
      <c r="O917" s="190"/>
      <c r="P917" s="231" t="str">
        <f>VLOOKUP(Ruimtestaat[[#This Row],[Ruimte code]],Ruimtegroepen[#All],4,FALSE)</f>
        <v>V  (Verkeersruimte)</v>
      </c>
      <c r="Q917" s="201"/>
      <c r="R917" s="202"/>
      <c r="S917" s="202"/>
      <c r="T917" s="202">
        <f>IF(R917&gt;0,IF(RIGHT(Ruimtestaat[[#This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917" s="202">
        <f>IF(T917&gt;0,VLOOKUP($J917,Ruimtegroepen[],3,FALSE)*VLOOKUP($L917,Vloersoorten[],3,FALSE)*VLOOKUP($S917,Frequenties[],3,FALSE)*VLOOKUP($A917,Locaties[],3,FALSE),0)</f>
        <v>0</v>
      </c>
      <c r="V917" s="202">
        <f>Ruimtestaat[[#This Row],[Uitvoeringen werkdagen]]*Ruimtestaat[[#This Row],[Oppervlak (netto)]]</f>
        <v>0</v>
      </c>
      <c r="W917" s="242">
        <f>IF(U917&gt;0,Ruimtestaat[[#This Row],[Prest. (m2 /jaar) werkdagen]]/Ruimtestaat[[#This Row],[Norm (m2/uur) werkdagen]],0)</f>
        <v>0</v>
      </c>
      <c r="X917" s="243">
        <f>Ruimtestaat[[#This Row],[uren / jaar werkdagen]]*Tariefsopbouw!$D$38</f>
        <v>0</v>
      </c>
      <c r="Y917" s="33"/>
      <c r="Z917" s="33">
        <f>IF(Ruimtestaat[[#This Row],[Frequentie weekend]]&gt;0,VALUE(LEFT(Y917,1))*R917,0)</f>
        <v>0</v>
      </c>
      <c r="AA917" s="33">
        <f>IF($Z917&gt;0,VLOOKUP($J917,Ruimtegroepen[],3,FALSE)*VLOOKUP($L917,Vloersoorten[],3,FALSE)*VLOOKUP($Y917,Frequenties[],3,FALSE)*VLOOKUP(#REF!,Locaties[],3,FALSE),0)</f>
        <v>0</v>
      </c>
      <c r="AB917" s="33"/>
      <c r="AC917" s="33"/>
      <c r="AD917" s="33">
        <f>Ruimtestaat[[#This Row],[uren / jaar weekend]]*Tariefsopbouw!$D$40</f>
        <v>0</v>
      </c>
      <c r="AE917" s="86">
        <f>Ruimtestaat[[#This Row],[Prest. (m2 /jaar) weekend]]+Ruimtestaat[[#This Row],[Prest. (m2 /jaar) werkdagen]]</f>
        <v>0</v>
      </c>
      <c r="AF917" s="86">
        <f>Ruimtestaat[[#This Row],[uren / jaar weekend]]+Ruimtestaat[[#This Row],[uren / jaar werkdagen]]</f>
        <v>0</v>
      </c>
      <c r="AG917" s="87">
        <f>Ruimtestaat[[#This Row],[kosten / jaar weekend]]+Ruimtestaat[[#This Row],[kosten / jaar werkdagen]]</f>
        <v>0</v>
      </c>
    </row>
    <row r="918" spans="1:33" ht="15" customHeight="1">
      <c r="A918" s="187">
        <v>7</v>
      </c>
      <c r="B918" s="187" t="str">
        <f>VLOOKUP(Ruimtestaat[[#This Row],[Code]],Locaties[#All],2,FALSE)</f>
        <v>Bestuursbureau</v>
      </c>
      <c r="C918" s="231" t="str">
        <f>VLOOKUP(Ruimtestaat[[#This Row],[Code]],Locaties[#All],4,FALSE)</f>
        <v>Drienerparkweg 16</v>
      </c>
      <c r="D918" s="231" t="str">
        <f>VLOOKUP(Ruimtestaat[[#This Row],[Code]],Locaties[#All],5,FALSE)</f>
        <v>7552 EB</v>
      </c>
      <c r="E918" s="187" t="str">
        <f>VLOOKUP(Ruimtestaat[[#This Row],[Code]],Locaties[#All],6,FALSE)</f>
        <v>Hengelo</v>
      </c>
      <c r="F918" s="232"/>
      <c r="G918" s="187" t="s">
        <v>1307</v>
      </c>
      <c r="H918" s="187" t="s">
        <v>1376</v>
      </c>
      <c r="I918" s="232" t="s">
        <v>414</v>
      </c>
      <c r="J918" s="231">
        <v>6</v>
      </c>
      <c r="K918" s="231" t="str">
        <f>VLOOKUP(Ruimtestaat[[#This Row],[Ruimte code]],Ruimtegroepen[#All],2,FALSE)</f>
        <v>Gangen/hallen</v>
      </c>
      <c r="L918" s="231" t="s">
        <v>1204</v>
      </c>
      <c r="M918" s="187" t="s">
        <v>1205</v>
      </c>
      <c r="N918" s="251">
        <v>7.79</v>
      </c>
      <c r="O918" s="190"/>
      <c r="P918" s="231" t="str">
        <f>VLOOKUP(Ruimtestaat[[#This Row],[Ruimte code]],Ruimtegroepen[#All],4,FALSE)</f>
        <v>V  (Verkeersruimte)</v>
      </c>
      <c r="Q918" s="201"/>
      <c r="R918" s="202">
        <v>51</v>
      </c>
      <c r="S918" s="202" t="s">
        <v>2</v>
      </c>
      <c r="T918" s="202">
        <f>IF(R918&gt;0,IF(RIGHT(Ruimtestaat[[#This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255</v>
      </c>
      <c r="U918" s="202">
        <f>IF(T918&gt;0,VLOOKUP($J918,Ruimtegroepen[],3,FALSE)*VLOOKUP($L918,Vloersoorten[],3,FALSE)*VLOOKUP($S918,Frequenties[],3,FALSE)*VLOOKUP($A918,Locaties[],3,FALSE),0)</f>
        <v>0</v>
      </c>
      <c r="V918" s="202">
        <f>Ruimtestaat[[#This Row],[Uitvoeringen werkdagen]]*Ruimtestaat[[#This Row],[Oppervlak (netto)]]</f>
        <v>1986.45</v>
      </c>
      <c r="W918" s="242">
        <f>IF(U918&gt;0,Ruimtestaat[[#This Row],[Prest. (m2 /jaar) werkdagen]]/Ruimtestaat[[#This Row],[Norm (m2/uur) werkdagen]],0)</f>
        <v>0</v>
      </c>
      <c r="X918" s="243">
        <f>Ruimtestaat[[#This Row],[uren / jaar werkdagen]]*Tariefsopbouw!$D$38</f>
        <v>0</v>
      </c>
      <c r="Y918" s="33"/>
      <c r="Z918" s="33">
        <f>IF(Ruimtestaat[[#This Row],[Frequentie weekend]]&gt;0,VALUE(LEFT(Y918,1))*R918,0)</f>
        <v>0</v>
      </c>
      <c r="AA918" s="33">
        <f>IF($Z918&gt;0,VLOOKUP($J918,Ruimtegroepen[],3,FALSE)*VLOOKUP($L918,Vloersoorten[],3,FALSE)*VLOOKUP($Y918,Frequenties[],3,FALSE)*VLOOKUP(#REF!,Locaties[],3,FALSE),0)</f>
        <v>0</v>
      </c>
      <c r="AB918" s="33"/>
      <c r="AC918" s="33"/>
      <c r="AD918" s="33">
        <f>Ruimtestaat[[#This Row],[uren / jaar weekend]]*Tariefsopbouw!$D$40</f>
        <v>0</v>
      </c>
      <c r="AE918" s="86">
        <f>Ruimtestaat[[#This Row],[Prest. (m2 /jaar) weekend]]+Ruimtestaat[[#This Row],[Prest. (m2 /jaar) werkdagen]]</f>
        <v>1986.45</v>
      </c>
      <c r="AF918" s="86">
        <f>Ruimtestaat[[#This Row],[uren / jaar weekend]]+Ruimtestaat[[#This Row],[uren / jaar werkdagen]]</f>
        <v>0</v>
      </c>
      <c r="AG918" s="87">
        <f>Ruimtestaat[[#This Row],[kosten / jaar weekend]]+Ruimtestaat[[#This Row],[kosten / jaar werkdagen]]</f>
        <v>0</v>
      </c>
    </row>
    <row r="919" spans="1:33" ht="15" customHeight="1">
      <c r="A919" s="187">
        <v>7</v>
      </c>
      <c r="B919" s="187" t="str">
        <f>VLOOKUP(Ruimtestaat[[#This Row],[Code]],Locaties[#All],2,FALSE)</f>
        <v>Bestuursbureau</v>
      </c>
      <c r="C919" s="231" t="str">
        <f>VLOOKUP(Ruimtestaat[[#This Row],[Code]],Locaties[#All],4,FALSE)</f>
        <v>Drienerparkweg 16</v>
      </c>
      <c r="D919" s="231" t="str">
        <f>VLOOKUP(Ruimtestaat[[#This Row],[Code]],Locaties[#All],5,FALSE)</f>
        <v>7552 EB</v>
      </c>
      <c r="E919" s="187" t="str">
        <f>VLOOKUP(Ruimtestaat[[#This Row],[Code]],Locaties[#All],6,FALSE)</f>
        <v>Hengelo</v>
      </c>
      <c r="F919" s="232"/>
      <c r="G919" s="187" t="s">
        <v>1307</v>
      </c>
      <c r="H919" s="187" t="s">
        <v>1377</v>
      </c>
      <c r="I919" s="232" t="s">
        <v>1378</v>
      </c>
      <c r="J919" s="231">
        <v>1</v>
      </c>
      <c r="K919" s="231" t="str">
        <f>VLOOKUP(Ruimtestaat[[#This Row],[Ruimte code]],Ruimtegroepen[#All],2,FALSE)</f>
        <v>Magazijnen/bergingen</v>
      </c>
      <c r="L919" s="231" t="s">
        <v>1204</v>
      </c>
      <c r="M919" s="187" t="s">
        <v>1205</v>
      </c>
      <c r="N919" s="251">
        <v>28.35</v>
      </c>
      <c r="O919" s="190"/>
      <c r="P919" s="231" t="str">
        <f>VLOOKUP(Ruimtestaat[[#This Row],[Ruimte code]],Ruimtegroepen[#All],4,FALSE)</f>
        <v>V  (Verkeersruimte)</v>
      </c>
      <c r="Q919" s="201"/>
      <c r="R919" s="202">
        <v>51</v>
      </c>
      <c r="S919" s="202" t="s">
        <v>16</v>
      </c>
      <c r="T919" s="202">
        <f>IF(R919&gt;0,IF(RIGHT(Ruimtestaat[[#This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919" s="202">
        <f>IF(T919&gt;0,VLOOKUP($J919,Ruimtegroepen[],3,FALSE)*VLOOKUP($L919,Vloersoorten[],3,FALSE)*VLOOKUP($S919,Frequenties[],3,FALSE)*VLOOKUP($A919,Locaties[],3,FALSE),0)</f>
        <v>0</v>
      </c>
      <c r="V919" s="202">
        <f>Ruimtestaat[[#This Row],[Uitvoeringen werkdagen]]*Ruimtestaat[[#This Row],[Oppervlak (netto)]]</f>
        <v>340.20000000000005</v>
      </c>
      <c r="W919" s="242">
        <f>IF(U919&gt;0,Ruimtestaat[[#This Row],[Prest. (m2 /jaar) werkdagen]]/Ruimtestaat[[#This Row],[Norm (m2/uur) werkdagen]],0)</f>
        <v>0</v>
      </c>
      <c r="X919" s="243">
        <f>Ruimtestaat[[#This Row],[uren / jaar werkdagen]]*Tariefsopbouw!$D$38</f>
        <v>0</v>
      </c>
      <c r="Y919" s="33"/>
      <c r="Z919" s="33">
        <f>IF(Ruimtestaat[[#This Row],[Frequentie weekend]]&gt;0,VALUE(LEFT(Y919,1))*R919,0)</f>
        <v>0</v>
      </c>
      <c r="AA919" s="33">
        <f>IF($Z919&gt;0,VLOOKUP($J919,Ruimtegroepen[],3,FALSE)*VLOOKUP($L919,Vloersoorten[],3,FALSE)*VLOOKUP($Y919,Frequenties[],3,FALSE)*VLOOKUP(#REF!,Locaties[],3,FALSE),0)</f>
        <v>0</v>
      </c>
      <c r="AB919" s="33"/>
      <c r="AC919" s="33"/>
      <c r="AD919" s="33">
        <f>Ruimtestaat[[#This Row],[uren / jaar weekend]]*Tariefsopbouw!$D$40</f>
        <v>0</v>
      </c>
      <c r="AE919" s="86">
        <f>Ruimtestaat[[#This Row],[Prest. (m2 /jaar) weekend]]+Ruimtestaat[[#This Row],[Prest. (m2 /jaar) werkdagen]]</f>
        <v>340.20000000000005</v>
      </c>
      <c r="AF919" s="86">
        <f>Ruimtestaat[[#This Row],[uren / jaar weekend]]+Ruimtestaat[[#This Row],[uren / jaar werkdagen]]</f>
        <v>0</v>
      </c>
      <c r="AG919" s="87">
        <f>Ruimtestaat[[#This Row],[kosten / jaar weekend]]+Ruimtestaat[[#This Row],[kosten / jaar werkdagen]]</f>
        <v>0</v>
      </c>
    </row>
    <row r="920" spans="1:33" ht="15" customHeight="1">
      <c r="A920" s="187">
        <v>7</v>
      </c>
      <c r="B920" s="187" t="str">
        <f>VLOOKUP(Ruimtestaat[[#This Row],[Code]],Locaties[#All],2,FALSE)</f>
        <v>Bestuursbureau</v>
      </c>
      <c r="C920" s="231" t="str">
        <f>VLOOKUP(Ruimtestaat[[#This Row],[Code]],Locaties[#All],4,FALSE)</f>
        <v>Drienerparkweg 16</v>
      </c>
      <c r="D920" s="231" t="str">
        <f>VLOOKUP(Ruimtestaat[[#This Row],[Code]],Locaties[#All],5,FALSE)</f>
        <v>7552 EB</v>
      </c>
      <c r="E920" s="187" t="str">
        <f>VLOOKUP(Ruimtestaat[[#This Row],[Code]],Locaties[#All],6,FALSE)</f>
        <v>Hengelo</v>
      </c>
      <c r="F920" s="232"/>
      <c r="G920" s="187" t="s">
        <v>1307</v>
      </c>
      <c r="H920" s="187" t="s">
        <v>1379</v>
      </c>
      <c r="I920" s="232" t="s">
        <v>442</v>
      </c>
      <c r="J920" s="231">
        <v>1</v>
      </c>
      <c r="K920" s="231" t="str">
        <f>VLOOKUP(Ruimtestaat[[#This Row],[Ruimte code]],Ruimtegroepen[#All],2,FALSE)</f>
        <v>Magazijnen/bergingen</v>
      </c>
      <c r="L920" s="231" t="s">
        <v>1204</v>
      </c>
      <c r="M920" s="187" t="s">
        <v>1205</v>
      </c>
      <c r="N920" s="251">
        <v>5.89</v>
      </c>
      <c r="O920" s="190"/>
      <c r="P920" s="231" t="str">
        <f>VLOOKUP(Ruimtestaat[[#This Row],[Ruimte code]],Ruimtegroepen[#All],4,FALSE)</f>
        <v>V  (Verkeersruimte)</v>
      </c>
      <c r="Q920" s="201"/>
      <c r="R920" s="202">
        <v>51</v>
      </c>
      <c r="S920" s="202" t="s">
        <v>16</v>
      </c>
      <c r="T920" s="202">
        <f>IF(R920&gt;0,IF(RIGHT(Ruimtestaat[[#This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920" s="202">
        <f>IF(T920&gt;0,VLOOKUP($J920,Ruimtegroepen[],3,FALSE)*VLOOKUP($L920,Vloersoorten[],3,FALSE)*VLOOKUP($S920,Frequenties[],3,FALSE)*VLOOKUP($A920,Locaties[],3,FALSE),0)</f>
        <v>0</v>
      </c>
      <c r="V920" s="202">
        <f>Ruimtestaat[[#This Row],[Uitvoeringen werkdagen]]*Ruimtestaat[[#This Row],[Oppervlak (netto)]]</f>
        <v>70.679999999999993</v>
      </c>
      <c r="W920" s="242">
        <f>IF(U920&gt;0,Ruimtestaat[[#This Row],[Prest. (m2 /jaar) werkdagen]]/Ruimtestaat[[#This Row],[Norm (m2/uur) werkdagen]],0)</f>
        <v>0</v>
      </c>
      <c r="X920" s="243">
        <f>Ruimtestaat[[#This Row],[uren / jaar werkdagen]]*Tariefsopbouw!$D$38</f>
        <v>0</v>
      </c>
      <c r="Y920" s="33"/>
      <c r="Z920" s="33">
        <f>IF(Ruimtestaat[[#This Row],[Frequentie weekend]]&gt;0,VALUE(LEFT(Y920,1))*R920,0)</f>
        <v>0</v>
      </c>
      <c r="AA920" s="33">
        <f>IF($Z920&gt;0,VLOOKUP($J920,Ruimtegroepen[],3,FALSE)*VLOOKUP($L920,Vloersoorten[],3,FALSE)*VLOOKUP($Y920,Frequenties[],3,FALSE)*VLOOKUP(#REF!,Locaties[],3,FALSE),0)</f>
        <v>0</v>
      </c>
      <c r="AB920" s="33"/>
      <c r="AC920" s="33"/>
      <c r="AD920" s="33">
        <f>Ruimtestaat[[#This Row],[uren / jaar weekend]]*Tariefsopbouw!$D$40</f>
        <v>0</v>
      </c>
      <c r="AE920" s="86">
        <f>Ruimtestaat[[#This Row],[Prest. (m2 /jaar) weekend]]+Ruimtestaat[[#This Row],[Prest. (m2 /jaar) werkdagen]]</f>
        <v>70.679999999999993</v>
      </c>
      <c r="AF920" s="86">
        <f>Ruimtestaat[[#This Row],[uren / jaar weekend]]+Ruimtestaat[[#This Row],[uren / jaar werkdagen]]</f>
        <v>0</v>
      </c>
      <c r="AG920" s="87">
        <f>Ruimtestaat[[#This Row],[kosten / jaar weekend]]+Ruimtestaat[[#This Row],[kosten / jaar werkdagen]]</f>
        <v>0</v>
      </c>
    </row>
    <row r="921" spans="1:33" ht="15" customHeight="1">
      <c r="A921" s="187"/>
      <c r="B921" s="187" t="e">
        <f>VLOOKUP(Ruimtestaat[[#This Row],[Code]],Locaties[#All],2,FALSE)</f>
        <v>#N/A</v>
      </c>
      <c r="C921" s="231" t="e">
        <f>VLOOKUP(Ruimtestaat[[#This Row],[Code]],Locaties[#All],4,FALSE)</f>
        <v>#N/A</v>
      </c>
      <c r="D921" s="231" t="e">
        <f>VLOOKUP(Ruimtestaat[[#This Row],[Code]],Locaties[#All],5,FALSE)</f>
        <v>#N/A</v>
      </c>
      <c r="E921" s="187" t="e">
        <f>VLOOKUP(Ruimtestaat[[#This Row],[Code]],Locaties[#All],6,FALSE)</f>
        <v>#N/A</v>
      </c>
      <c r="F921" s="232"/>
      <c r="G921" s="187"/>
      <c r="H921" s="187"/>
      <c r="I921" s="232"/>
      <c r="J921" s="231"/>
      <c r="K921" s="231" t="e">
        <f>VLOOKUP(Ruimtestaat[[#This Row],[Ruimte code]],Ruimtegroepen[#All],2,FALSE)</f>
        <v>#N/A</v>
      </c>
      <c r="L921" s="231"/>
      <c r="M921" s="250"/>
      <c r="N921" s="251"/>
      <c r="O921" s="190"/>
      <c r="P921" s="231" t="e">
        <f>VLOOKUP(Ruimtestaat[[#This Row],[Ruimte code]],Ruimtegroepen[#All],4,FALSE)</f>
        <v>#N/A</v>
      </c>
      <c r="Q921" s="201"/>
      <c r="R921" s="202"/>
      <c r="S921" s="202"/>
      <c r="T921" s="202">
        <f>IF(R921&gt;0,IF(RIGHT(Ruimtestaat[[#This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921" s="202">
        <f>IF(T921&gt;0,VLOOKUP($J921,Ruimtegroepen[],3,FALSE)*VLOOKUP($L921,Vloersoorten[],3,FALSE)*VLOOKUP($S921,Frequenties[],3,FALSE)*VLOOKUP($A921,Locaties[],3,FALSE),0)</f>
        <v>0</v>
      </c>
      <c r="V921" s="202">
        <f>Ruimtestaat[[#This Row],[Uitvoeringen werkdagen]]*Ruimtestaat[[#This Row],[Oppervlak (netto)]]</f>
        <v>0</v>
      </c>
      <c r="W921" s="242">
        <f>IF(U921&gt;0,Ruimtestaat[[#This Row],[Prest. (m2 /jaar) werkdagen]]/Ruimtestaat[[#This Row],[Norm (m2/uur) werkdagen]],0)</f>
        <v>0</v>
      </c>
      <c r="X921" s="243">
        <f>Ruimtestaat[[#This Row],[uren / jaar werkdagen]]*Tariefsopbouw!$D$38</f>
        <v>0</v>
      </c>
      <c r="Y921" s="33"/>
      <c r="Z921" s="33">
        <f>IF(Ruimtestaat[[#This Row],[Frequentie weekend]]&gt;0,VALUE(LEFT(Y921,1))*R921,0)</f>
        <v>0</v>
      </c>
      <c r="AA921" s="33">
        <f>IF($Z921&gt;0,VLOOKUP($J921,Ruimtegroepen[],3,FALSE)*VLOOKUP($L921,Vloersoorten[],3,FALSE)*VLOOKUP($Y921,Frequenties[],3,FALSE)*VLOOKUP(#REF!,Locaties[],3,FALSE),0)</f>
        <v>0</v>
      </c>
      <c r="AB921" s="33"/>
      <c r="AC921" s="33"/>
      <c r="AD921" s="33">
        <f>Ruimtestaat[[#This Row],[uren / jaar weekend]]*Tariefsopbouw!$D$40</f>
        <v>0</v>
      </c>
      <c r="AE921" s="86">
        <f>Ruimtestaat[[#This Row],[Prest. (m2 /jaar) weekend]]+Ruimtestaat[[#This Row],[Prest. (m2 /jaar) werkdagen]]</f>
        <v>0</v>
      </c>
      <c r="AF921" s="86">
        <f>Ruimtestaat[[#This Row],[uren / jaar weekend]]+Ruimtestaat[[#This Row],[uren / jaar werkdagen]]</f>
        <v>0</v>
      </c>
      <c r="AG921" s="87">
        <f>Ruimtestaat[[#This Row],[kosten / jaar weekend]]+Ruimtestaat[[#This Row],[kosten / jaar werkdagen]]</f>
        <v>0</v>
      </c>
    </row>
  </sheetData>
  <sortState xmlns:xlrd2="http://schemas.microsoft.com/office/spreadsheetml/2017/richdata2" ref="B17:S695">
    <sortCondition ref="B17:B695"/>
    <sortCondition ref="F17:F695"/>
  </sortState>
  <mergeCells count="5">
    <mergeCell ref="A1:Q1"/>
    <mergeCell ref="R1:AG1"/>
    <mergeCell ref="S3:X3"/>
    <mergeCell ref="Y3:AD3"/>
    <mergeCell ref="AE3:AG3"/>
  </mergeCells>
  <phoneticPr fontId="9" type="noConversion"/>
  <pageMargins left="0.23622047244094491" right="0.23622047244094491" top="0.74803149606299213" bottom="0.74803149606299213" header="0.31496062992125984" footer="0.31496062992125984"/>
  <pageSetup paperSize="8" scale="53" fitToWidth="2" fitToHeight="0" orientation="landscape" r:id="rId1"/>
  <headerFooter alignWithMargins="0">
    <oddFooter>&amp;L&amp;P&amp;Cparaaf Inschrijver&amp;R&amp;D</oddFooter>
  </headerFooter>
  <colBreaks count="1" manualBreakCount="1">
    <brk id="25" max="888" man="1"/>
  </colBreaks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6">
    <tabColor theme="0" tint="-0.14999847407452621"/>
    <pageSetUpPr fitToPage="1"/>
  </sheetPr>
  <dimension ref="A1:I139"/>
  <sheetViews>
    <sheetView showGridLines="0" view="pageBreakPreview" zoomScaleNormal="100" zoomScaleSheetLayoutView="100" workbookViewId="0">
      <selection sqref="A1:G1"/>
    </sheetView>
  </sheetViews>
  <sheetFormatPr defaultColWidth="9.140625" defaultRowHeight="15" customHeight="1"/>
  <cols>
    <col min="1" max="1" width="11.5703125" style="21" customWidth="1"/>
    <col min="2" max="2" width="47.42578125" style="4" bestFit="1" customWidth="1"/>
    <col min="3" max="3" width="12.5703125" style="4" customWidth="1"/>
    <col min="4" max="4" width="52.140625" style="21" bestFit="1" customWidth="1"/>
    <col min="5" max="7" width="19" style="4" customWidth="1"/>
    <col min="8" max="9" width="17.7109375" style="4" bestFit="1" customWidth="1"/>
    <col min="10" max="16384" width="9.140625" style="4"/>
  </cols>
  <sheetData>
    <row r="1" spans="1:9" s="9" customFormat="1" ht="26.25" customHeight="1">
      <c r="A1" s="336" t="s">
        <v>41</v>
      </c>
      <c r="B1" s="336"/>
      <c r="C1" s="336"/>
      <c r="D1" s="336"/>
      <c r="E1" s="336"/>
      <c r="F1" s="336"/>
      <c r="G1" s="336"/>
      <c r="H1" s="79"/>
    </row>
    <row r="2" spans="1:9" s="9" customFormat="1" ht="15" customHeight="1">
      <c r="A2" s="347" t="s">
        <v>213</v>
      </c>
      <c r="B2" s="310"/>
      <c r="C2" s="310"/>
      <c r="D2" s="310"/>
      <c r="E2" s="310"/>
      <c r="F2" s="310"/>
      <c r="G2" s="310"/>
    </row>
    <row r="3" spans="1:9" ht="15" customHeight="1">
      <c r="B3" s="21"/>
      <c r="D3" s="4"/>
    </row>
    <row r="4" spans="1:9" ht="15" customHeight="1">
      <c r="A4" s="4" t="s">
        <v>179</v>
      </c>
      <c r="B4" s="21"/>
      <c r="D4" s="4"/>
    </row>
    <row r="5" spans="1:9" ht="15" customHeight="1">
      <c r="A5" s="4" t="s">
        <v>244</v>
      </c>
      <c r="B5" s="21"/>
      <c r="D5" s="4"/>
    </row>
    <row r="6" spans="1:9" ht="15" customHeight="1">
      <c r="A6" s="4" t="s">
        <v>197</v>
      </c>
      <c r="B6" s="38"/>
      <c r="C6" s="38"/>
      <c r="D6" s="34"/>
      <c r="E6" s="34"/>
      <c r="F6" s="39"/>
      <c r="G6" s="39"/>
    </row>
    <row r="7" spans="1:9" ht="15" customHeight="1">
      <c r="A7" s="4"/>
      <c r="B7" s="38"/>
      <c r="C7" s="38"/>
      <c r="D7" s="34"/>
      <c r="E7" s="348" t="s">
        <v>384</v>
      </c>
      <c r="F7" s="348"/>
      <c r="G7" s="348"/>
      <c r="H7" s="348"/>
      <c r="I7" s="348"/>
    </row>
    <row r="8" spans="1:9" s="8" customFormat="1" ht="26.25" customHeight="1">
      <c r="A8" s="49" t="s">
        <v>210</v>
      </c>
      <c r="B8" s="50" t="s">
        <v>143</v>
      </c>
      <c r="C8" s="51" t="s">
        <v>178</v>
      </c>
      <c r="D8" s="49" t="s">
        <v>148</v>
      </c>
      <c r="E8" s="49" t="s">
        <v>394</v>
      </c>
      <c r="F8" s="49" t="s">
        <v>395</v>
      </c>
      <c r="G8" s="49" t="s">
        <v>396</v>
      </c>
      <c r="H8" s="49" t="s">
        <v>397</v>
      </c>
      <c r="I8" s="49" t="s">
        <v>1243</v>
      </c>
    </row>
    <row r="9" spans="1:9" ht="15" customHeight="1">
      <c r="A9" s="52">
        <v>1</v>
      </c>
      <c r="B9" s="53" t="s">
        <v>230</v>
      </c>
      <c r="C9" s="54">
        <v>0</v>
      </c>
      <c r="D9" s="57" t="s">
        <v>146</v>
      </c>
      <c r="E9" s="215" t="e">
        <f>(InvulGlas[[#This Row],[Prijs excl. BTW]]*Tariefsopbouw!$I$37)+InvulGlas[[#This Row],[Prijs excl. BTW]]</f>
        <v>#DIV/0!</v>
      </c>
      <c r="F9" s="215" t="e">
        <f>E9*Tariefsopbouw!$K$37+Glasbewassing!E9</f>
        <v>#DIV/0!</v>
      </c>
      <c r="G9" s="215" t="e">
        <f>F9*Tariefsopbouw!$M$37+Glasbewassing!F9</f>
        <v>#DIV/0!</v>
      </c>
      <c r="H9" s="215" t="e">
        <f>G9*Tariefsopbouw!$O$37+Glasbewassing!G9</f>
        <v>#DIV/0!</v>
      </c>
      <c r="I9" s="215" t="e">
        <f>H9*Tariefsopbouw!$Q$37+Glasbewassing!H9</f>
        <v>#DIV/0!</v>
      </c>
    </row>
    <row r="10" spans="1:9" ht="15" customHeight="1">
      <c r="A10" s="55">
        <v>2</v>
      </c>
      <c r="B10" s="56" t="s">
        <v>145</v>
      </c>
      <c r="C10" s="54">
        <v>0</v>
      </c>
      <c r="D10" s="59" t="s">
        <v>146</v>
      </c>
      <c r="E10" s="216" t="e">
        <f>(InvulGlas[[#This Row],[Prijs excl. BTW]]*Tariefsopbouw!$I$37)+InvulGlas[[#This Row],[Prijs excl. BTW]]</f>
        <v>#DIV/0!</v>
      </c>
      <c r="F10" s="216" t="e">
        <f>E10*Tariefsopbouw!$K$37+Glasbewassing!E10</f>
        <v>#DIV/0!</v>
      </c>
      <c r="G10" s="216" t="e">
        <f>F10*Tariefsopbouw!$M$37+Glasbewassing!F10</f>
        <v>#DIV/0!</v>
      </c>
      <c r="H10" s="216" t="e">
        <f>G10*Tariefsopbouw!$O$37+Glasbewassing!G10</f>
        <v>#DIV/0!</v>
      </c>
      <c r="I10" s="216" t="e">
        <f>H10*Tariefsopbouw!$Q$37+Glasbewassing!H10</f>
        <v>#DIV/0!</v>
      </c>
    </row>
    <row r="11" spans="1:9" ht="15" customHeight="1">
      <c r="A11" s="52">
        <v>3</v>
      </c>
      <c r="B11" s="53" t="s">
        <v>147</v>
      </c>
      <c r="C11" s="54">
        <v>0</v>
      </c>
      <c r="D11" s="57" t="s">
        <v>146</v>
      </c>
      <c r="E11" s="215" t="e">
        <f>(InvulGlas[[#This Row],[Prijs excl. BTW]]*Tariefsopbouw!$I$37)+InvulGlas[[#This Row],[Prijs excl. BTW]]</f>
        <v>#DIV/0!</v>
      </c>
      <c r="F11" s="215" t="e">
        <f>E11*Tariefsopbouw!$K$37+Glasbewassing!E11</f>
        <v>#DIV/0!</v>
      </c>
      <c r="G11" s="215" t="e">
        <f>F11*Tariefsopbouw!$M$37+Glasbewassing!F11</f>
        <v>#DIV/0!</v>
      </c>
      <c r="H11" s="215" t="e">
        <f>G11*Tariefsopbouw!$O$37+Glasbewassing!G11</f>
        <v>#DIV/0!</v>
      </c>
      <c r="I11" s="215" t="e">
        <f>H11*Tariefsopbouw!$Q$37+Glasbewassing!H11</f>
        <v>#DIV/0!</v>
      </c>
    </row>
    <row r="12" spans="1:9" ht="15" customHeight="1">
      <c r="A12" s="55">
        <v>4</v>
      </c>
      <c r="B12" s="56" t="s">
        <v>231</v>
      </c>
      <c r="C12" s="54">
        <v>0</v>
      </c>
      <c r="D12" s="59" t="s">
        <v>146</v>
      </c>
      <c r="E12" s="216" t="e">
        <f>(InvulGlas[[#This Row],[Prijs excl. BTW]]*Tariefsopbouw!$I$37)+InvulGlas[[#This Row],[Prijs excl. BTW]]</f>
        <v>#DIV/0!</v>
      </c>
      <c r="F12" s="216" t="e">
        <f>E12*Tariefsopbouw!$K$37+Glasbewassing!E12</f>
        <v>#DIV/0!</v>
      </c>
      <c r="G12" s="216" t="e">
        <f>F12*Tariefsopbouw!$M$37+Glasbewassing!F12</f>
        <v>#DIV/0!</v>
      </c>
      <c r="H12" s="216" t="e">
        <f>G12*Tariefsopbouw!$O$37+Glasbewassing!G12</f>
        <v>#DIV/0!</v>
      </c>
      <c r="I12" s="216" t="e">
        <f>H12*Tariefsopbouw!$Q$37+Glasbewassing!H12</f>
        <v>#DIV/0!</v>
      </c>
    </row>
    <row r="13" spans="1:9" ht="15" customHeight="1">
      <c r="A13" s="52">
        <v>5</v>
      </c>
      <c r="B13" s="53" t="s">
        <v>255</v>
      </c>
      <c r="C13" s="54">
        <v>0</v>
      </c>
      <c r="D13" s="57" t="s">
        <v>146</v>
      </c>
      <c r="E13" s="215" t="e">
        <f>(InvulGlas[[#This Row],[Prijs excl. BTW]]*Tariefsopbouw!$I$37)+InvulGlas[[#This Row],[Prijs excl. BTW]]</f>
        <v>#DIV/0!</v>
      </c>
      <c r="F13" s="215" t="e">
        <f>E13*Tariefsopbouw!$K$37+Glasbewassing!E13</f>
        <v>#DIV/0!</v>
      </c>
      <c r="G13" s="215" t="e">
        <f>F13*Tariefsopbouw!$M$37+Glasbewassing!F13</f>
        <v>#DIV/0!</v>
      </c>
      <c r="H13" s="215" t="e">
        <f>G13*Tariefsopbouw!$O$37+Glasbewassing!G13</f>
        <v>#DIV/0!</v>
      </c>
      <c r="I13" s="215" t="e">
        <f>H13*Tariefsopbouw!$Q$37+Glasbewassing!H13</f>
        <v>#DIV/0!</v>
      </c>
    </row>
    <row r="14" spans="1:9" ht="15" customHeight="1">
      <c r="A14" s="55">
        <v>6</v>
      </c>
      <c r="B14" s="56" t="s">
        <v>229</v>
      </c>
      <c r="C14" s="54">
        <v>0</v>
      </c>
      <c r="D14" s="59" t="s">
        <v>146</v>
      </c>
      <c r="E14" s="216" t="e">
        <f>(InvulGlas[[#This Row],[Prijs excl. BTW]]*Tariefsopbouw!$I$37)+InvulGlas[[#This Row],[Prijs excl. BTW]]</f>
        <v>#DIV/0!</v>
      </c>
      <c r="F14" s="216" t="e">
        <f>E14*Tariefsopbouw!$K$37+Glasbewassing!E14</f>
        <v>#DIV/0!</v>
      </c>
      <c r="G14" s="216" t="e">
        <f>F14*Tariefsopbouw!$M$37+Glasbewassing!F14</f>
        <v>#DIV/0!</v>
      </c>
      <c r="H14" s="216" t="e">
        <f>G14*Tariefsopbouw!$O$37+Glasbewassing!G14</f>
        <v>#DIV/0!</v>
      </c>
      <c r="I14" s="216" t="e">
        <f>H14*Tariefsopbouw!$Q$37+Glasbewassing!H14</f>
        <v>#DIV/0!</v>
      </c>
    </row>
    <row r="15" spans="1:9" ht="15" customHeight="1">
      <c r="A15" s="52">
        <v>7</v>
      </c>
      <c r="B15" s="53" t="s">
        <v>256</v>
      </c>
      <c r="C15" s="54">
        <v>0</v>
      </c>
      <c r="D15" s="57" t="s">
        <v>251</v>
      </c>
      <c r="E15" s="215" t="e">
        <f>(InvulGlas[[#This Row],[Prijs excl. BTW]]*Tariefsopbouw!$I$37)+InvulGlas[[#This Row],[Prijs excl. BTW]]</f>
        <v>#DIV/0!</v>
      </c>
      <c r="F15" s="215" t="e">
        <f>E15*Tariefsopbouw!$K$37+Glasbewassing!E15</f>
        <v>#DIV/0!</v>
      </c>
      <c r="G15" s="215" t="e">
        <f>F15*Tariefsopbouw!$M$37+Glasbewassing!F15</f>
        <v>#DIV/0!</v>
      </c>
      <c r="H15" s="215" t="e">
        <f>G15*Tariefsopbouw!$O$37+Glasbewassing!G15</f>
        <v>#DIV/0!</v>
      </c>
      <c r="I15" s="215" t="e">
        <f>H15*Tariefsopbouw!$Q$37+Glasbewassing!H15</f>
        <v>#DIV/0!</v>
      </c>
    </row>
    <row r="16" spans="1:9" ht="15" customHeight="1">
      <c r="A16" s="55">
        <v>8</v>
      </c>
      <c r="B16" s="56" t="s">
        <v>1237</v>
      </c>
      <c r="C16" s="54">
        <v>0</v>
      </c>
      <c r="D16" s="59" t="s">
        <v>146</v>
      </c>
      <c r="E16" s="216" t="e">
        <f>(InvulGlas[[#This Row],[Prijs excl. BTW]]*Tariefsopbouw!$I$37)+InvulGlas[[#This Row],[Prijs excl. BTW]]</f>
        <v>#DIV/0!</v>
      </c>
      <c r="F16" s="216" t="e">
        <f>E16*Tariefsopbouw!$K$37+Glasbewassing!E16</f>
        <v>#DIV/0!</v>
      </c>
      <c r="G16" s="216" t="e">
        <f>F16*Tariefsopbouw!$M$37+Glasbewassing!F16</f>
        <v>#DIV/0!</v>
      </c>
      <c r="H16" s="216" t="e">
        <f>G16*Tariefsopbouw!$O$37+Glasbewassing!G16</f>
        <v>#DIV/0!</v>
      </c>
      <c r="I16" s="216" t="e">
        <f>H16*Tariefsopbouw!$Q$37+Glasbewassing!H16</f>
        <v>#DIV/0!</v>
      </c>
    </row>
    <row r="17" spans="1:9" ht="15" customHeight="1">
      <c r="A17" s="52">
        <v>9</v>
      </c>
      <c r="B17" s="53" t="s">
        <v>1235</v>
      </c>
      <c r="C17" s="54">
        <v>0</v>
      </c>
      <c r="D17" s="57" t="s">
        <v>146</v>
      </c>
      <c r="E17" s="215" t="e">
        <f>(InvulGlas[[#This Row],[Prijs excl. BTW]]*Tariefsopbouw!$I$37)+InvulGlas[[#This Row],[Prijs excl. BTW]]</f>
        <v>#DIV/0!</v>
      </c>
      <c r="F17" s="215" t="e">
        <f>E17*Tariefsopbouw!$K$37+Glasbewassing!E17</f>
        <v>#DIV/0!</v>
      </c>
      <c r="G17" s="215" t="e">
        <f>F17*Tariefsopbouw!$M$37+Glasbewassing!F17</f>
        <v>#DIV/0!</v>
      </c>
      <c r="H17" s="215" t="e">
        <f>G17*Tariefsopbouw!$O$37+Glasbewassing!G17</f>
        <v>#DIV/0!</v>
      </c>
      <c r="I17" s="215" t="e">
        <f>H17*Tariefsopbouw!$Q$37+Glasbewassing!H17</f>
        <v>#DIV/0!</v>
      </c>
    </row>
    <row r="18" spans="1:9" ht="15" customHeight="1">
      <c r="A18" s="55">
        <v>10</v>
      </c>
      <c r="B18" s="56" t="s">
        <v>1236</v>
      </c>
      <c r="C18" s="54">
        <v>0</v>
      </c>
      <c r="D18" s="59" t="s">
        <v>146</v>
      </c>
      <c r="E18" s="216" t="e">
        <f>(InvulGlas[[#This Row],[Prijs excl. BTW]]*Tariefsopbouw!$I$37)+InvulGlas[[#This Row],[Prijs excl. BTW]]</f>
        <v>#DIV/0!</v>
      </c>
      <c r="F18" s="216" t="e">
        <f>E18*Tariefsopbouw!$K$37+Glasbewassing!E18</f>
        <v>#DIV/0!</v>
      </c>
      <c r="G18" s="216" t="e">
        <f>F18*Tariefsopbouw!$M$37+Glasbewassing!F18</f>
        <v>#DIV/0!</v>
      </c>
      <c r="H18" s="216" t="e">
        <f>G18*Tariefsopbouw!$O$37+Glasbewassing!G18</f>
        <v>#DIV/0!</v>
      </c>
      <c r="I18" s="216" t="e">
        <f>H18*Tariefsopbouw!$Q$37+Glasbewassing!H18</f>
        <v>#DIV/0!</v>
      </c>
    </row>
    <row r="19" spans="1:9" ht="15" customHeight="1">
      <c r="A19" s="52">
        <v>11</v>
      </c>
      <c r="B19" s="53" t="s">
        <v>1238</v>
      </c>
      <c r="C19" s="54">
        <v>0</v>
      </c>
      <c r="D19" s="57" t="s">
        <v>146</v>
      </c>
      <c r="E19" s="215" t="e">
        <f>(InvulGlas[[#This Row],[Prijs excl. BTW]]*Tariefsopbouw!$I$37)+InvulGlas[[#This Row],[Prijs excl. BTW]]</f>
        <v>#DIV/0!</v>
      </c>
      <c r="F19" s="215" t="e">
        <f>E19*Tariefsopbouw!$K$37+Glasbewassing!E19</f>
        <v>#DIV/0!</v>
      </c>
      <c r="G19" s="215" t="e">
        <f>F19*Tariefsopbouw!$M$37+Glasbewassing!F19</f>
        <v>#DIV/0!</v>
      </c>
      <c r="H19" s="215" t="e">
        <f>G19*Tariefsopbouw!$O$37+Glasbewassing!G19</f>
        <v>#DIV/0!</v>
      </c>
      <c r="I19" s="215" t="e">
        <f>H19*Tariefsopbouw!$Q$37+Glasbewassing!H19</f>
        <v>#DIV/0!</v>
      </c>
    </row>
    <row r="20" spans="1:9" ht="15" customHeight="1">
      <c r="A20" s="55" t="s">
        <v>1233</v>
      </c>
      <c r="B20" s="56" t="s">
        <v>1234</v>
      </c>
      <c r="C20" s="54">
        <v>0</v>
      </c>
      <c r="D20" s="59" t="s">
        <v>48</v>
      </c>
      <c r="E20" s="216" t="e">
        <f>(InvulGlas[[#This Row],[Prijs excl. BTW]]*Tariefsopbouw!$I$37)+InvulGlas[[#This Row],[Prijs excl. BTW]]</f>
        <v>#DIV/0!</v>
      </c>
      <c r="F20" s="216" t="e">
        <f>E20*Tariefsopbouw!$K$37+Glasbewassing!E20</f>
        <v>#DIV/0!</v>
      </c>
      <c r="G20" s="216" t="e">
        <f>F20*Tariefsopbouw!$M$37+Glasbewassing!F20</f>
        <v>#DIV/0!</v>
      </c>
      <c r="H20" s="216" t="e">
        <f>G20*Tariefsopbouw!$O$37+Glasbewassing!G20</f>
        <v>#DIV/0!</v>
      </c>
      <c r="I20" s="216" t="e">
        <f>H20*Tariefsopbouw!$Q$37+Glasbewassing!H20</f>
        <v>#DIV/0!</v>
      </c>
    </row>
    <row r="21" spans="1:9" ht="15" customHeight="1">
      <c r="A21" s="52" t="s">
        <v>154</v>
      </c>
      <c r="B21" s="53" t="s">
        <v>150</v>
      </c>
      <c r="C21" s="54">
        <v>0</v>
      </c>
      <c r="D21" s="57" t="s">
        <v>48</v>
      </c>
      <c r="E21" s="215" t="e">
        <f>(InvulGlas[[#This Row],[Prijs excl. BTW]]*Tariefsopbouw!$I$37)+InvulGlas[[#This Row],[Prijs excl. BTW]]</f>
        <v>#DIV/0!</v>
      </c>
      <c r="F21" s="215" t="e">
        <f>E21*Tariefsopbouw!$K$37+Glasbewassing!E21</f>
        <v>#DIV/0!</v>
      </c>
      <c r="G21" s="215" t="e">
        <f>F21*Tariefsopbouw!$M$37+Glasbewassing!F21</f>
        <v>#DIV/0!</v>
      </c>
      <c r="H21" s="215" t="e">
        <f>G21*Tariefsopbouw!$O$37+Glasbewassing!G21</f>
        <v>#DIV/0!</v>
      </c>
      <c r="I21" s="215" t="e">
        <f>H21*Tariefsopbouw!$Q$37+Glasbewassing!H21</f>
        <v>#DIV/0!</v>
      </c>
    </row>
    <row r="22" spans="1:9" ht="15" customHeight="1">
      <c r="A22" s="55" t="s">
        <v>155</v>
      </c>
      <c r="B22" s="56" t="s">
        <v>151</v>
      </c>
      <c r="C22" s="54">
        <v>0</v>
      </c>
      <c r="D22" s="59" t="s">
        <v>48</v>
      </c>
      <c r="E22" s="216" t="e">
        <f>(InvulGlas[[#This Row],[Prijs excl. BTW]]*Tariefsopbouw!$I$37)+InvulGlas[[#This Row],[Prijs excl. BTW]]</f>
        <v>#DIV/0!</v>
      </c>
      <c r="F22" s="216" t="e">
        <f>E22*Tariefsopbouw!$K$37+Glasbewassing!E22</f>
        <v>#DIV/0!</v>
      </c>
      <c r="G22" s="216" t="e">
        <f>F22*Tariefsopbouw!$M$37+Glasbewassing!F22</f>
        <v>#DIV/0!</v>
      </c>
      <c r="H22" s="216" t="e">
        <f>G22*Tariefsopbouw!$O$37+Glasbewassing!G22</f>
        <v>#DIV/0!</v>
      </c>
      <c r="I22" s="216" t="e">
        <f>H22*Tariefsopbouw!$Q$37+Glasbewassing!H22</f>
        <v>#DIV/0!</v>
      </c>
    </row>
    <row r="23" spans="1:9" ht="15" customHeight="1">
      <c r="A23" s="52" t="s">
        <v>156</v>
      </c>
      <c r="B23" s="53" t="s">
        <v>152</v>
      </c>
      <c r="C23" s="54">
        <v>0</v>
      </c>
      <c r="D23" s="57" t="s">
        <v>48</v>
      </c>
      <c r="E23" s="215" t="e">
        <f>(InvulGlas[[#This Row],[Prijs excl. BTW]]*Tariefsopbouw!$I$37)+InvulGlas[[#This Row],[Prijs excl. BTW]]</f>
        <v>#DIV/0!</v>
      </c>
      <c r="F23" s="215" t="e">
        <f>E23*Tariefsopbouw!$K$37+Glasbewassing!E23</f>
        <v>#DIV/0!</v>
      </c>
      <c r="G23" s="215" t="e">
        <f>F23*Tariefsopbouw!$M$37+Glasbewassing!F23</f>
        <v>#DIV/0!</v>
      </c>
      <c r="H23" s="215" t="e">
        <f>G23*Tariefsopbouw!$O$37+Glasbewassing!G23</f>
        <v>#DIV/0!</v>
      </c>
      <c r="I23" s="215" t="e">
        <f>H23*Tariefsopbouw!$Q$37+Glasbewassing!H23</f>
        <v>#DIV/0!</v>
      </c>
    </row>
    <row r="24" spans="1:9" ht="15" customHeight="1">
      <c r="A24" s="55" t="s">
        <v>252</v>
      </c>
      <c r="B24" s="56" t="s">
        <v>253</v>
      </c>
      <c r="C24" s="54">
        <v>0</v>
      </c>
      <c r="D24" s="59" t="s">
        <v>48</v>
      </c>
      <c r="E24" s="216" t="e">
        <f>(InvulGlas[[#This Row],[Prijs excl. BTW]]*Tariefsopbouw!$I$37)+InvulGlas[[#This Row],[Prijs excl. BTW]]</f>
        <v>#DIV/0!</v>
      </c>
      <c r="F24" s="216" t="e">
        <f>E24*Tariefsopbouw!$K$37+Glasbewassing!E24</f>
        <v>#DIV/0!</v>
      </c>
      <c r="G24" s="216" t="e">
        <f>F24*Tariefsopbouw!$M$37+Glasbewassing!F24</f>
        <v>#DIV/0!</v>
      </c>
      <c r="H24" s="216" t="e">
        <f>G24*Tariefsopbouw!$O$37+Glasbewassing!G24</f>
        <v>#DIV/0!</v>
      </c>
      <c r="I24" s="216" t="e">
        <f>H24*Tariefsopbouw!$Q$37+Glasbewassing!H24</f>
        <v>#DIV/0!</v>
      </c>
    </row>
    <row r="25" spans="1:9" ht="15" customHeight="1">
      <c r="C25" s="35"/>
      <c r="D25" s="35"/>
    </row>
    <row r="26" spans="1:9" s="73" customFormat="1" ht="26.25" customHeight="1">
      <c r="A26" s="74" t="s">
        <v>208</v>
      </c>
      <c r="B26" s="74" t="s">
        <v>142</v>
      </c>
      <c r="C26" s="74" t="s">
        <v>210</v>
      </c>
      <c r="D26" s="75" t="s">
        <v>143</v>
      </c>
      <c r="E26" s="75" t="s">
        <v>153</v>
      </c>
      <c r="F26" s="75" t="s">
        <v>122</v>
      </c>
      <c r="G26" s="76" t="s">
        <v>144</v>
      </c>
    </row>
    <row r="27" spans="1:9" ht="15" customHeight="1">
      <c r="A27" s="257">
        <v>1</v>
      </c>
      <c r="B27" s="258" t="str">
        <f>VLOOKUP(OverzichtGlas[[#This Row],[Code Locatie]],Locaties[],2,0)</f>
        <v>Praktijkonderwijs</v>
      </c>
      <c r="C27" s="257">
        <v>1</v>
      </c>
      <c r="D27" s="259" t="str">
        <f>IF(Glasbewassing!$C27&gt;0,VLOOKUP(Glasbewassing!$C27,$A$8:$B$24,2,FALSE),"Hier vult u de inzet van eventuele hoogwerkers in")</f>
        <v>Gevelglas binnenzijde</v>
      </c>
      <c r="E27" s="260">
        <v>436</v>
      </c>
      <c r="F27" s="260">
        <v>2</v>
      </c>
      <c r="G27" s="261">
        <f>IF(C27&gt;0,VLOOKUP(OverzichtGlas[[#This Row],[Code taak]],InvulGlas[],3,0)*E27*F27,0)</f>
        <v>0</v>
      </c>
    </row>
    <row r="28" spans="1:9" ht="15" customHeight="1">
      <c r="A28" s="257">
        <v>1</v>
      </c>
      <c r="B28" s="258" t="str">
        <f>VLOOKUP(OverzichtGlas[[#This Row],[Code Locatie]],Locaties[],2,0)</f>
        <v>Praktijkonderwijs</v>
      </c>
      <c r="C28" s="257">
        <v>2</v>
      </c>
      <c r="D28" s="259" t="str">
        <f>IF(Glasbewassing!$C28&gt;0,VLOOKUP(Glasbewassing!$C28,$A$8:$B$24,2,FALSE),"Hier vult u de inzet van eventuele hoogwerkers in")</f>
        <v>Gevelglas buitenzijde</v>
      </c>
      <c r="E28" s="260">
        <v>436</v>
      </c>
      <c r="F28" s="260">
        <v>2</v>
      </c>
      <c r="G28" s="261">
        <f>IF(C28&gt;0,VLOOKUP(OverzichtGlas[[#This Row],[Code taak]],InvulGlas[],3,0)*E28*F28,0)</f>
        <v>0</v>
      </c>
    </row>
    <row r="29" spans="1:9" ht="15" customHeight="1">
      <c r="A29" s="257">
        <v>1</v>
      </c>
      <c r="B29" s="258" t="str">
        <f>VLOOKUP(OverzichtGlas[[#This Row],[Code Locatie]],Locaties[],2,0)</f>
        <v>Praktijkonderwijs</v>
      </c>
      <c r="C29" s="257">
        <v>3</v>
      </c>
      <c r="D29" s="259" t="str">
        <f>IF(Glasbewassing!$C29&gt;0,VLOOKUP(Glasbewassing!$C29,$A$8:$B$24,2,FALSE),"Hier vult u de inzet van eventuele hoogwerkers in")</f>
        <v>Separatieglas (enkel gemeten, dubbel te wassen)</v>
      </c>
      <c r="E29" s="260">
        <v>310</v>
      </c>
      <c r="F29" s="260">
        <v>2</v>
      </c>
      <c r="G29" s="261">
        <f>IF(C29&gt;0,VLOOKUP(OverzichtGlas[[#This Row],[Code taak]],InvulGlas[],3,0)*E29*F29,0)</f>
        <v>0</v>
      </c>
    </row>
    <row r="30" spans="1:9" ht="15" customHeight="1">
      <c r="A30" s="257">
        <v>1</v>
      </c>
      <c r="B30" s="258" t="str">
        <f>VLOOKUP(OverzichtGlas[[#This Row],[Code Locatie]],Locaties[],2,0)</f>
        <v>Praktijkonderwijs</v>
      </c>
      <c r="C30" s="228"/>
      <c r="D30" s="259" t="str">
        <f>IF(Glasbewassing!$C30&gt;0,VLOOKUP(Glasbewassing!$C30,$A$8:$B$24,2,FALSE),"Hier vult u de inzet van eventuele hoogwerkers in")</f>
        <v>Hier vult u de inzet van eventuele hoogwerkers in</v>
      </c>
      <c r="E30" s="228"/>
      <c r="F30" s="260">
        <v>2</v>
      </c>
      <c r="G30" s="261">
        <f>IF(C30&gt;0,VLOOKUP(OverzichtGlas[[#This Row],[Code taak]],InvulGlas[],3,0)*E30*F30,0)</f>
        <v>0</v>
      </c>
    </row>
    <row r="31" spans="1:9" ht="15" customHeight="1">
      <c r="A31" s="257">
        <v>1</v>
      </c>
      <c r="B31" s="258" t="str">
        <f>VLOOKUP(OverzichtGlas[[#This Row],[Code Locatie]],Locaties[],2,0)</f>
        <v>Praktijkonderwijs</v>
      </c>
      <c r="C31" s="254" t="s">
        <v>1233</v>
      </c>
      <c r="D31" s="259" t="str">
        <f>IF(Glasbewassing!$C31&gt;0,VLOOKUP(Glasbewassing!$C31,$A$8:$B$24,2,FALSE),"Hier vult u de inzet van eventuele hoogwerkers in")</f>
        <v>Tuckerpool</v>
      </c>
      <c r="E31" s="228"/>
      <c r="F31" s="260">
        <v>2</v>
      </c>
      <c r="G31" s="261">
        <f>IF(C31&gt;0,VLOOKUP(OverzichtGlas[[#This Row],[Code taak]],InvulGlas[],3,0)*E31*F31,0)</f>
        <v>0</v>
      </c>
    </row>
    <row r="32" spans="1:9" ht="15" customHeight="1">
      <c r="A32" s="257">
        <v>2</v>
      </c>
      <c r="B32" s="258" t="str">
        <f>VLOOKUP(OverzichtGlas[[#This Row],[Code Locatie]],Locaties[],2,0)</f>
        <v>Losser</v>
      </c>
      <c r="C32" s="257">
        <v>1</v>
      </c>
      <c r="D32" s="259" t="str">
        <f>IF(Glasbewassing!$C32&gt;0,VLOOKUP(Glasbewassing!$C32,$A$8:$B$24,2,FALSE),"Hier vult u de inzet van eventuele hoogwerkers in")</f>
        <v>Gevelglas binnenzijde</v>
      </c>
      <c r="E32" s="260">
        <v>598.9</v>
      </c>
      <c r="F32" s="260">
        <v>2</v>
      </c>
      <c r="G32" s="261">
        <f>IF(C32&gt;0,VLOOKUP(OverzichtGlas[[#This Row],[Code taak]],InvulGlas[],3,0)*E32*F32,0)</f>
        <v>0</v>
      </c>
    </row>
    <row r="33" spans="1:7" ht="15" customHeight="1">
      <c r="A33" s="257">
        <v>2</v>
      </c>
      <c r="B33" s="258" t="str">
        <f>VLOOKUP(OverzichtGlas[[#This Row],[Code Locatie]],Locaties[],2,0)</f>
        <v>Losser</v>
      </c>
      <c r="C33" s="257">
        <v>2</v>
      </c>
      <c r="D33" s="259" t="str">
        <f>IF(Glasbewassing!$C33&gt;0,VLOOKUP(Glasbewassing!$C33,$A$8:$B$24,2,FALSE),"Hier vult u de inzet van eventuele hoogwerkers in")</f>
        <v>Gevelglas buitenzijde</v>
      </c>
      <c r="E33" s="260">
        <v>598.9</v>
      </c>
      <c r="F33" s="260">
        <v>2</v>
      </c>
      <c r="G33" s="261">
        <f>IF(C33&gt;0,VLOOKUP(OverzichtGlas[[#This Row],[Code taak]],InvulGlas[],3,0)*E33*F33,0)</f>
        <v>0</v>
      </c>
    </row>
    <row r="34" spans="1:7" ht="15" customHeight="1">
      <c r="A34" s="257">
        <v>2</v>
      </c>
      <c r="B34" s="258" t="str">
        <f>VLOOKUP(OverzichtGlas[[#This Row],[Code Locatie]],Locaties[],2,0)</f>
        <v>Losser</v>
      </c>
      <c r="C34" s="257">
        <v>3</v>
      </c>
      <c r="D34" s="259" t="str">
        <f>IF(Glasbewassing!$C34&gt;0,VLOOKUP(Glasbewassing!$C34,$A$8:$B$24,2,FALSE),"Hier vult u de inzet van eventuele hoogwerkers in")</f>
        <v>Separatieglas (enkel gemeten, dubbel te wassen)</v>
      </c>
      <c r="E34" s="260">
        <v>214.4</v>
      </c>
      <c r="F34" s="260">
        <v>2</v>
      </c>
      <c r="G34" s="261">
        <f>IF(C34&gt;0,VLOOKUP(OverzichtGlas[[#This Row],[Code taak]],InvulGlas[],3,0)*E34*F34,0)</f>
        <v>0</v>
      </c>
    </row>
    <row r="35" spans="1:7" ht="15" customHeight="1">
      <c r="A35" s="257">
        <v>2</v>
      </c>
      <c r="B35" s="258" t="str">
        <f>VLOOKUP(OverzichtGlas[[#This Row],[Code Locatie]],Locaties[],2,0)</f>
        <v>Losser</v>
      </c>
      <c r="C35" s="257">
        <v>9</v>
      </c>
      <c r="D35" s="259" t="str">
        <f>IF(Glasbewassing!$C35&gt;0,VLOOKUP(Glasbewassing!$C35,$A$8:$B$24,2,FALSE),"Hier vult u de inzet van eventuele hoogwerkers in")</f>
        <v>Melkglas buitenzijde</v>
      </c>
      <c r="E35" s="260">
        <v>33.700000000000003</v>
      </c>
      <c r="F35" s="260">
        <v>2</v>
      </c>
      <c r="G35" s="261">
        <f>IF(C35&gt;0,VLOOKUP(OverzichtGlas[[#This Row],[Code taak]],InvulGlas[],3,0)*E35*F35,0)</f>
        <v>0</v>
      </c>
    </row>
    <row r="36" spans="1:7" ht="15" customHeight="1">
      <c r="A36" s="257">
        <v>2</v>
      </c>
      <c r="B36" s="258" t="str">
        <f>VLOOKUP(OverzichtGlas[[#This Row],[Code Locatie]],Locaties[],2,0)</f>
        <v>Losser</v>
      </c>
      <c r="C36" s="257">
        <v>10</v>
      </c>
      <c r="D36" s="259" t="str">
        <f>IF(Glasbewassing!$C36&gt;0,VLOOKUP(Glasbewassing!$C36,$A$8:$B$24,2,FALSE),"Hier vult u de inzet van eventuele hoogwerkers in")</f>
        <v>Melkglas binnenzijde</v>
      </c>
      <c r="E36" s="260">
        <v>33.700000000000003</v>
      </c>
      <c r="F36" s="260">
        <v>2</v>
      </c>
      <c r="G36" s="261">
        <f>IF(C36&gt;0,VLOOKUP(OverzichtGlas[[#This Row],[Code taak]],InvulGlas[],3,0)*E36*F36,0)</f>
        <v>0</v>
      </c>
    </row>
    <row r="37" spans="1:7" ht="15" customHeight="1">
      <c r="A37" s="257">
        <v>2</v>
      </c>
      <c r="B37" s="258" t="str">
        <f>VLOOKUP(OverzichtGlas[[#This Row],[Code Locatie]],Locaties[],2,0)</f>
        <v>Losser</v>
      </c>
      <c r="C37" s="228"/>
      <c r="D37" s="259" t="str">
        <f>IF(Glasbewassing!$C37&gt;0,VLOOKUP(Glasbewassing!$C37,$A$8:$B$24,2,FALSE),"Hier vult u de inzet van eventuele hoogwerkers in")</f>
        <v>Hier vult u de inzet van eventuele hoogwerkers in</v>
      </c>
      <c r="E37" s="228"/>
      <c r="F37" s="260">
        <v>2</v>
      </c>
      <c r="G37" s="261">
        <f>IF(C37&gt;0,VLOOKUP(OverzichtGlas[[#This Row],[Code taak]],InvulGlas[],3,0)*E37*F37,0)</f>
        <v>0</v>
      </c>
    </row>
    <row r="38" spans="1:7" ht="15" customHeight="1">
      <c r="A38" s="257">
        <v>2</v>
      </c>
      <c r="B38" s="258" t="str">
        <f>VLOOKUP(OverzichtGlas[[#This Row],[Code Locatie]],Locaties[],2,0)</f>
        <v>Losser</v>
      </c>
      <c r="C38" s="254" t="s">
        <v>1233</v>
      </c>
      <c r="D38" s="259" t="str">
        <f>IF(Glasbewassing!$C38&gt;0,VLOOKUP(Glasbewassing!$C38,$A$8:$B$24,2,FALSE),"Hier vult u de inzet van eventuele hoogwerkers in")</f>
        <v>Tuckerpool</v>
      </c>
      <c r="E38" s="228"/>
      <c r="F38" s="260">
        <v>2</v>
      </c>
      <c r="G38" s="261">
        <f>IF(C38&gt;0,VLOOKUP(OverzichtGlas[[#This Row],[Code taak]],InvulGlas[],3,0)*E38*F38,0)</f>
        <v>0</v>
      </c>
    </row>
    <row r="39" spans="1:7" ht="15" customHeight="1">
      <c r="A39" s="257">
        <v>3</v>
      </c>
      <c r="B39" s="258" t="str">
        <f>VLOOKUP(OverzichtGlas[[#This Row],[Code Locatie]],Locaties[],2,0)</f>
        <v>Denekamp</v>
      </c>
      <c r="C39" s="257">
        <v>1</v>
      </c>
      <c r="D39" s="259" t="str">
        <f>IF(Glasbewassing!$C39&gt;0,VLOOKUP(Glasbewassing!$C39,$A$8:$B$24,2,FALSE),"Hier vult u de inzet van eventuele hoogwerkers in")</f>
        <v>Gevelglas binnenzijde</v>
      </c>
      <c r="E39" s="260">
        <v>526.21</v>
      </c>
      <c r="F39" s="260">
        <v>2</v>
      </c>
      <c r="G39" s="261">
        <f>IF(C39&gt;0,VLOOKUP(OverzichtGlas[[#This Row],[Code taak]],InvulGlas[],3,0)*E39*F39,0)</f>
        <v>0</v>
      </c>
    </row>
    <row r="40" spans="1:7" ht="15" customHeight="1">
      <c r="A40" s="257">
        <v>3</v>
      </c>
      <c r="B40" s="258" t="str">
        <f>VLOOKUP(OverzichtGlas[[#This Row],[Code Locatie]],Locaties[],2,0)</f>
        <v>Denekamp</v>
      </c>
      <c r="C40" s="257">
        <v>2</v>
      </c>
      <c r="D40" s="259" t="str">
        <f>IF(Glasbewassing!$C40&gt;0,VLOOKUP(Glasbewassing!$C40,$A$8:$B$24,2,FALSE),"Hier vult u de inzet van eventuele hoogwerkers in")</f>
        <v>Gevelglas buitenzijde</v>
      </c>
      <c r="E40" s="260">
        <v>526.21</v>
      </c>
      <c r="F40" s="260">
        <v>2</v>
      </c>
      <c r="G40" s="261">
        <f>IF(C40&gt;0,VLOOKUP(OverzichtGlas[[#This Row],[Code taak]],InvulGlas[],3,0)*E40*F40,0)</f>
        <v>0</v>
      </c>
    </row>
    <row r="41" spans="1:7" ht="15" customHeight="1">
      <c r="A41" s="257">
        <v>3</v>
      </c>
      <c r="B41" s="258" t="str">
        <f>VLOOKUP(OverzichtGlas[[#This Row],[Code Locatie]],Locaties[],2,0)</f>
        <v>Denekamp</v>
      </c>
      <c r="C41" s="257">
        <v>3</v>
      </c>
      <c r="D41" s="259" t="str">
        <f>IF(Glasbewassing!$C41&gt;0,VLOOKUP(Glasbewassing!$C41,$A$8:$B$24,2,FALSE),"Hier vult u de inzet van eventuele hoogwerkers in")</f>
        <v>Separatieglas (enkel gemeten, dubbel te wassen)</v>
      </c>
      <c r="E41" s="260">
        <v>204</v>
      </c>
      <c r="F41" s="260">
        <v>2</v>
      </c>
      <c r="G41" s="261">
        <f>IF(C41&gt;0,VLOOKUP(OverzichtGlas[[#This Row],[Code taak]],InvulGlas[],3,0)*E41*F41,0)</f>
        <v>0</v>
      </c>
    </row>
    <row r="42" spans="1:7" ht="15" customHeight="1">
      <c r="A42" s="257">
        <v>3</v>
      </c>
      <c r="B42" s="258" t="str">
        <f>VLOOKUP(OverzichtGlas[[#This Row],[Code Locatie]],Locaties[],2,0)</f>
        <v>Denekamp</v>
      </c>
      <c r="C42" s="228"/>
      <c r="D42" s="259" t="str">
        <f>IF(Glasbewassing!$C42&gt;0,VLOOKUP(Glasbewassing!$C42,$A$8:$B$24,2,FALSE),"Hier vult u de inzet van eventuele hoogwerkers in")</f>
        <v>Hier vult u de inzet van eventuele hoogwerkers in</v>
      </c>
      <c r="E42" s="228"/>
      <c r="F42" s="260">
        <v>2</v>
      </c>
      <c r="G42" s="261">
        <f>IF(C42&gt;0,VLOOKUP(OverzichtGlas[[#This Row],[Code taak]],InvulGlas[],3,0)*E42*F42,0)</f>
        <v>0</v>
      </c>
    </row>
    <row r="43" spans="1:7" ht="15" customHeight="1">
      <c r="A43" s="257">
        <v>3</v>
      </c>
      <c r="B43" s="258" t="str">
        <f>VLOOKUP(OverzichtGlas[[#This Row],[Code Locatie]],Locaties[],2,0)</f>
        <v>Denekamp</v>
      </c>
      <c r="C43" s="254" t="s">
        <v>1233</v>
      </c>
      <c r="D43" s="259" t="str">
        <f>IF(Glasbewassing!$C43&gt;0,VLOOKUP(Glasbewassing!$C43,$A$8:$B$24,2,FALSE),"Hier vult u de inzet van eventuele hoogwerkers in")</f>
        <v>Tuckerpool</v>
      </c>
      <c r="E43" s="228"/>
      <c r="F43" s="260">
        <v>2</v>
      </c>
      <c r="G43" s="261">
        <f>IF(C43&gt;0,VLOOKUP(OverzichtGlas[[#This Row],[Code taak]],InvulGlas[],3,0)*E43*F43,0)</f>
        <v>0</v>
      </c>
    </row>
    <row r="44" spans="1:7" ht="15" customHeight="1">
      <c r="A44" s="257">
        <v>4</v>
      </c>
      <c r="B44" s="258" t="str">
        <f>VLOOKUP(OverzichtGlas[[#This Row],[Code Locatie]],Locaties[],2,0)</f>
        <v xml:space="preserve">Lyceumstraat </v>
      </c>
      <c r="C44" s="257">
        <v>1</v>
      </c>
      <c r="D44" s="259" t="str">
        <f>IF(Glasbewassing!$C44&gt;0,VLOOKUP(Glasbewassing!$C44,$A$8:$B$24,2,FALSE),"Hier vult u de inzet van eventuele hoogwerkers in")</f>
        <v>Gevelglas binnenzijde</v>
      </c>
      <c r="E44" s="256"/>
      <c r="F44" s="260">
        <v>2</v>
      </c>
      <c r="G44" s="261">
        <f>IF(C44&gt;0,VLOOKUP(OverzichtGlas[[#This Row],[Code taak]],InvulGlas[],3,0)*E44*F44,0)</f>
        <v>0</v>
      </c>
    </row>
    <row r="45" spans="1:7" ht="15" customHeight="1">
      <c r="A45" s="257">
        <v>4</v>
      </c>
      <c r="B45" s="258" t="str">
        <f>VLOOKUP(OverzichtGlas[[#This Row],[Code Locatie]],Locaties[],2,0)</f>
        <v xml:space="preserve">Lyceumstraat </v>
      </c>
      <c r="C45" s="257">
        <v>2</v>
      </c>
      <c r="D45" s="259" t="str">
        <f>IF(Glasbewassing!$C45&gt;0,VLOOKUP(Glasbewassing!$C45,$A$8:$B$24,2,FALSE),"Hier vult u de inzet van eventuele hoogwerkers in")</f>
        <v>Gevelglas buitenzijde</v>
      </c>
      <c r="E45" s="255"/>
      <c r="F45" s="260">
        <v>2</v>
      </c>
      <c r="G45" s="261">
        <f>IF(C45&gt;0,VLOOKUP(OverzichtGlas[[#This Row],[Code taak]],InvulGlas[],3,0)*E45*F45,0)</f>
        <v>0</v>
      </c>
    </row>
    <row r="46" spans="1:7" ht="15" customHeight="1">
      <c r="A46" s="257">
        <v>4</v>
      </c>
      <c r="B46" s="258" t="str">
        <f>VLOOKUP(OverzichtGlas[[#This Row],[Code Locatie]],Locaties[],2,0)</f>
        <v xml:space="preserve">Lyceumstraat </v>
      </c>
      <c r="C46" s="257">
        <v>3</v>
      </c>
      <c r="D46" s="259" t="str">
        <f>IF(Glasbewassing!$C46&gt;0,VLOOKUP(Glasbewassing!$C46,$A$8:$B$24,2,FALSE),"Hier vult u de inzet van eventuele hoogwerkers in")</f>
        <v>Separatieglas (enkel gemeten, dubbel te wassen)</v>
      </c>
      <c r="E46" s="256"/>
      <c r="F46" s="260">
        <v>2</v>
      </c>
      <c r="G46" s="261">
        <f>IF(C46&gt;0,VLOOKUP(OverzichtGlas[[#This Row],[Code taak]],InvulGlas[],3,0)*E46*F46,0)</f>
        <v>0</v>
      </c>
    </row>
    <row r="47" spans="1:7" ht="15" customHeight="1">
      <c r="A47" s="257">
        <v>4</v>
      </c>
      <c r="B47" s="258" t="str">
        <f>VLOOKUP(OverzichtGlas[[#This Row],[Code Locatie]],Locaties[],2,0)</f>
        <v xml:space="preserve">Lyceumstraat </v>
      </c>
      <c r="C47" s="228"/>
      <c r="D47" s="259" t="str">
        <f>IF(Glasbewassing!$C47&gt;0,VLOOKUP(Glasbewassing!$C47,$A$8:$B$24,2,FALSE),"Hier vult u de inzet van eventuele hoogwerkers in")</f>
        <v>Hier vult u de inzet van eventuele hoogwerkers in</v>
      </c>
      <c r="E47" s="228"/>
      <c r="F47" s="260">
        <v>2</v>
      </c>
      <c r="G47" s="261">
        <f>IF(C47&gt;0,VLOOKUP(OverzichtGlas[[#This Row],[Code taak]],InvulGlas[],3,0)*E47*F47,0)</f>
        <v>0</v>
      </c>
    </row>
    <row r="48" spans="1:7" ht="15" customHeight="1">
      <c r="A48" s="257">
        <v>4</v>
      </c>
      <c r="B48" s="258" t="str">
        <f>VLOOKUP(OverzichtGlas[[#This Row],[Code Locatie]],Locaties[],2,0)</f>
        <v xml:space="preserve">Lyceumstraat </v>
      </c>
      <c r="C48" s="254" t="s">
        <v>1233</v>
      </c>
      <c r="D48" s="259" t="str">
        <f>IF(Glasbewassing!$C48&gt;0,VLOOKUP(Glasbewassing!$C48,$A$8:$B$24,2,FALSE),"Hier vult u de inzet van eventuele hoogwerkers in")</f>
        <v>Tuckerpool</v>
      </c>
      <c r="E48" s="228"/>
      <c r="F48" s="260">
        <v>2</v>
      </c>
      <c r="G48" s="261">
        <f>IF(C48&gt;0,VLOOKUP(OverzichtGlas[[#This Row],[Code taak]],InvulGlas[],3,0)*E48*F48,0)</f>
        <v>0</v>
      </c>
    </row>
    <row r="49" spans="1:7" ht="15" customHeight="1">
      <c r="A49" s="257">
        <v>5</v>
      </c>
      <c r="B49" s="258" t="str">
        <f>VLOOKUP(OverzichtGlas[[#This Row],[Code Locatie]],Locaties[],2,0)</f>
        <v>Potskamp</v>
      </c>
      <c r="C49" s="257">
        <v>1</v>
      </c>
      <c r="D49" s="259" t="str">
        <f>IF(Glasbewassing!$C49&gt;0,VLOOKUP(Glasbewassing!$C49,$A$8:$B$24,2,FALSE),"Hier vult u de inzet van eventuele hoogwerkers in")</f>
        <v>Gevelglas binnenzijde</v>
      </c>
      <c r="E49" s="260">
        <v>4770</v>
      </c>
      <c r="F49" s="260">
        <v>2</v>
      </c>
      <c r="G49" s="261">
        <f>IF(C49&gt;0,VLOOKUP(OverzichtGlas[[#This Row],[Code taak]],InvulGlas[],3,0)*E49*F49,0)</f>
        <v>0</v>
      </c>
    </row>
    <row r="50" spans="1:7" ht="15" customHeight="1">
      <c r="A50" s="257">
        <v>5</v>
      </c>
      <c r="B50" s="258" t="str">
        <f>VLOOKUP(OverzichtGlas[[#This Row],[Code Locatie]],Locaties[],2,0)</f>
        <v>Potskamp</v>
      </c>
      <c r="C50" s="257">
        <v>2</v>
      </c>
      <c r="D50" s="259" t="str">
        <f>IF(Glasbewassing!$C50&gt;0,VLOOKUP(Glasbewassing!$C50,$A$8:$B$24,2,FALSE),"Hier vult u de inzet van eventuele hoogwerkers in")</f>
        <v>Gevelglas buitenzijde</v>
      </c>
      <c r="E50" s="260">
        <v>5300</v>
      </c>
      <c r="F50" s="260">
        <v>2</v>
      </c>
      <c r="G50" s="261">
        <f>IF(C50&gt;0,VLOOKUP(OverzichtGlas[[#This Row],[Code taak]],InvulGlas[],3,0)*E50*F50,0)</f>
        <v>0</v>
      </c>
    </row>
    <row r="51" spans="1:7" ht="15" customHeight="1">
      <c r="A51" s="257">
        <v>5</v>
      </c>
      <c r="B51" s="258" t="str">
        <f>VLOOKUP(OverzichtGlas[[#This Row],[Code Locatie]],Locaties[],2,0)</f>
        <v>Potskamp</v>
      </c>
      <c r="C51" s="257">
        <v>3</v>
      </c>
      <c r="D51" s="259" t="str">
        <f>IF(Glasbewassing!$C51&gt;0,VLOOKUP(Glasbewassing!$C51,$A$8:$B$24,2,FALSE),"Hier vult u de inzet van eventuele hoogwerkers in")</f>
        <v>Separatieglas (enkel gemeten, dubbel te wassen)</v>
      </c>
      <c r="E51" s="260">
        <v>2988</v>
      </c>
      <c r="F51" s="260">
        <v>2</v>
      </c>
      <c r="G51" s="261">
        <f>IF(C51&gt;0,VLOOKUP(OverzichtGlas[[#This Row],[Code taak]],InvulGlas[],3,0)*E51*F51,0)</f>
        <v>0</v>
      </c>
    </row>
    <row r="52" spans="1:7" ht="15" customHeight="1">
      <c r="A52" s="257">
        <v>5</v>
      </c>
      <c r="B52" s="258" t="str">
        <f>VLOOKUP(OverzichtGlas[[#This Row],[Code Locatie]],Locaties[],2,0)</f>
        <v>Potskamp</v>
      </c>
      <c r="C52" s="257">
        <v>8</v>
      </c>
      <c r="D52" s="259" t="str">
        <f>IF(Glasbewassing!$C52&gt;0,VLOOKUP(Glasbewassing!$C52,$A$8:$B$24,2,FALSE),"Hier vult u de inzet van eventuele hoogwerkers in")</f>
        <v>Glas in lood dubbelzijdig</v>
      </c>
      <c r="E52" s="260">
        <v>64</v>
      </c>
      <c r="F52" s="260">
        <v>2</v>
      </c>
      <c r="G52" s="261">
        <f>IF(C52&gt;0,VLOOKUP(OverzichtGlas[[#This Row],[Code taak]],InvulGlas[],3,0)*E52*F52,0)</f>
        <v>0</v>
      </c>
    </row>
    <row r="53" spans="1:7" ht="15" customHeight="1">
      <c r="A53" s="257">
        <v>5</v>
      </c>
      <c r="B53" s="258" t="str">
        <f>VLOOKUP(OverzichtGlas[[#This Row],[Code Locatie]],Locaties[],2,0)</f>
        <v>Potskamp</v>
      </c>
      <c r="C53" s="257">
        <v>1</v>
      </c>
      <c r="D53" s="259" t="s">
        <v>1284</v>
      </c>
      <c r="E53" s="260">
        <v>570</v>
      </c>
      <c r="F53" s="260">
        <v>2</v>
      </c>
      <c r="G53" s="261">
        <f>IF(C53&gt;0,VLOOKUP(OverzichtGlas[[#This Row],[Code taak]],InvulGlas[],3,0)*E53*F53,0)</f>
        <v>0</v>
      </c>
    </row>
    <row r="54" spans="1:7" ht="15" customHeight="1">
      <c r="A54" s="257">
        <v>5</v>
      </c>
      <c r="B54" s="258" t="str">
        <f>VLOOKUP(OverzichtGlas[[#This Row],[Code Locatie]],Locaties[],2,0)</f>
        <v>Potskamp</v>
      </c>
      <c r="C54" s="228"/>
      <c r="D54" s="259" t="str">
        <f>IF(Glasbewassing!$C54&gt;0,VLOOKUP(Glasbewassing!$C54,$A$8:$B$24,2,FALSE),"Hier vult u de inzet van eventuele hoogwerkers in")</f>
        <v>Hier vult u de inzet van eventuele hoogwerkers in</v>
      </c>
      <c r="E54" s="228"/>
      <c r="F54" s="260">
        <v>2</v>
      </c>
      <c r="G54" s="261">
        <f>IF(C54&gt;0,VLOOKUP(OverzichtGlas[[#This Row],[Code taak]],InvulGlas[],3,0)*E54*F54,0)</f>
        <v>0</v>
      </c>
    </row>
    <row r="55" spans="1:7" ht="15" customHeight="1">
      <c r="A55" s="257">
        <v>5</v>
      </c>
      <c r="B55" s="258" t="str">
        <f>VLOOKUP(OverzichtGlas[[#This Row],[Code Locatie]],Locaties[],2,0)</f>
        <v>Potskamp</v>
      </c>
      <c r="C55" s="254" t="s">
        <v>1233</v>
      </c>
      <c r="D55" s="259" t="str">
        <f>IF(Glasbewassing!$C55&gt;0,VLOOKUP(Glasbewassing!$C55,$A$8:$B$24,2,FALSE),"Hier vult u de inzet van eventuele hoogwerkers in")</f>
        <v>Tuckerpool</v>
      </c>
      <c r="E55" s="228"/>
      <c r="F55" s="260">
        <v>2</v>
      </c>
      <c r="G55" s="261">
        <f>IF(C55&gt;0,VLOOKUP(OverzichtGlas[[#This Row],[Code taak]],InvulGlas[],3,0)*E55*F55,0)</f>
        <v>0</v>
      </c>
    </row>
    <row r="56" spans="1:7" ht="15" customHeight="1">
      <c r="A56" s="257">
        <v>6</v>
      </c>
      <c r="B56" s="258" t="str">
        <f>VLOOKUP(OverzichtGlas[[#This Row],[Code Locatie]],Locaties[],2,0)</f>
        <v>De Thij</v>
      </c>
      <c r="C56" s="257">
        <v>1</v>
      </c>
      <c r="D56" s="259" t="str">
        <f>IF(Glasbewassing!$C56&gt;0,VLOOKUP(Glasbewassing!$C56,$A$8:$B$24,2,FALSE),"Hier vult u de inzet van eventuele hoogwerkers in")</f>
        <v>Gevelglas binnenzijde</v>
      </c>
      <c r="E56" s="260">
        <v>1500</v>
      </c>
      <c r="F56" s="260">
        <v>2</v>
      </c>
      <c r="G56" s="261">
        <f>IF(C56&gt;0,VLOOKUP(OverzichtGlas[[#This Row],[Code taak]],InvulGlas[],3,0)*E56*F56,0)</f>
        <v>0</v>
      </c>
    </row>
    <row r="57" spans="1:7" ht="15" customHeight="1">
      <c r="A57" s="257">
        <v>6</v>
      </c>
      <c r="B57" s="258" t="str">
        <f>VLOOKUP(OverzichtGlas[[#This Row],[Code Locatie]],Locaties[],2,0)</f>
        <v>De Thij</v>
      </c>
      <c r="C57" s="257">
        <v>2</v>
      </c>
      <c r="D57" s="259" t="str">
        <f>IF(Glasbewassing!$C57&gt;0,VLOOKUP(Glasbewassing!$C57,$A$8:$B$24,2,FALSE),"Hier vult u de inzet van eventuele hoogwerkers in")</f>
        <v>Gevelglas buitenzijde</v>
      </c>
      <c r="E57" s="260">
        <v>1500</v>
      </c>
      <c r="F57" s="260">
        <v>2</v>
      </c>
      <c r="G57" s="261">
        <f>IF(C57&gt;0,VLOOKUP(OverzichtGlas[[#This Row],[Code taak]],InvulGlas[],3,0)*E57*F57,0)</f>
        <v>0</v>
      </c>
    </row>
    <row r="58" spans="1:7" ht="15" customHeight="1">
      <c r="A58" s="257">
        <v>6</v>
      </c>
      <c r="B58" s="258" t="str">
        <f>VLOOKUP(OverzichtGlas[[#This Row],[Code Locatie]],Locaties[],2,0)</f>
        <v>De Thij</v>
      </c>
      <c r="C58" s="257">
        <v>3</v>
      </c>
      <c r="D58" s="259" t="str">
        <f>IF(Glasbewassing!$C58&gt;0,VLOOKUP(Glasbewassing!$C58,$A$8:$B$24,2,FALSE),"Hier vult u de inzet van eventuele hoogwerkers in")</f>
        <v>Separatieglas (enkel gemeten, dubbel te wassen)</v>
      </c>
      <c r="E58" s="260">
        <v>641</v>
      </c>
      <c r="F58" s="260">
        <v>2</v>
      </c>
      <c r="G58" s="261">
        <f>IF(C58&gt;0,VLOOKUP(OverzichtGlas[[#This Row],[Code taak]],InvulGlas[],3,0)*E58*F58,0)</f>
        <v>0</v>
      </c>
    </row>
    <row r="59" spans="1:7" ht="15" customHeight="1">
      <c r="A59" s="257">
        <v>6</v>
      </c>
      <c r="B59" s="258" t="str">
        <f>VLOOKUP(OverzichtGlas[[#This Row],[Code Locatie]],Locaties[],2,0)</f>
        <v>De Thij</v>
      </c>
      <c r="C59" s="257">
        <v>11</v>
      </c>
      <c r="D59" s="259" t="str">
        <f>IF(Glasbewassing!$C59&gt;0,VLOOKUP(Glasbewassing!$C59,$A$8:$B$24,2,FALSE),"Hier vult u de inzet van eventuele hoogwerkers in")</f>
        <v>Glaswand tot de grond buitenzijde</v>
      </c>
      <c r="E59" s="260">
        <v>116</v>
      </c>
      <c r="F59" s="260">
        <v>12</v>
      </c>
      <c r="G59" s="261">
        <f>IF(C59&gt;0,VLOOKUP(OverzichtGlas[[#This Row],[Code taak]],InvulGlas[],3,0)*E59*F59,0)</f>
        <v>0</v>
      </c>
    </row>
    <row r="60" spans="1:7" ht="15" customHeight="1">
      <c r="A60" s="257">
        <v>6</v>
      </c>
      <c r="B60" s="258" t="str">
        <f>VLOOKUP(OverzichtGlas[[#This Row],[Code Locatie]],Locaties[],2,0)</f>
        <v>De Thij</v>
      </c>
      <c r="C60" s="228"/>
      <c r="D60" s="259" t="str">
        <f>IF(Glasbewassing!$C60&gt;0,VLOOKUP(Glasbewassing!$C60,$A$8:$B$24,2,FALSE),"Hier vult u de inzet van eventuele hoogwerkers in")</f>
        <v>Hier vult u de inzet van eventuele hoogwerkers in</v>
      </c>
      <c r="E60" s="228"/>
      <c r="F60" s="260">
        <v>2</v>
      </c>
      <c r="G60" s="261">
        <f>IF(C60&gt;0,VLOOKUP(OverzichtGlas[[#This Row],[Code taak]],InvulGlas[],3,0)*E60*F60,0)</f>
        <v>0</v>
      </c>
    </row>
    <row r="61" spans="1:7" ht="15" customHeight="1">
      <c r="A61" s="257">
        <v>6</v>
      </c>
      <c r="B61" s="258" t="str">
        <f>VLOOKUP(OverzichtGlas[[#This Row],[Code Locatie]],Locaties[],2,0)</f>
        <v>De Thij</v>
      </c>
      <c r="C61" s="254" t="s">
        <v>1233</v>
      </c>
      <c r="D61" s="259" t="str">
        <f>IF(Glasbewassing!$C61&gt;0,VLOOKUP(Glasbewassing!$C61,$A$8:$B$24,2,FALSE),"Hier vult u de inzet van eventuele hoogwerkers in")</f>
        <v>Tuckerpool</v>
      </c>
      <c r="E61" s="228"/>
      <c r="F61" s="260">
        <v>2</v>
      </c>
      <c r="G61" s="261">
        <f>IF(C61&gt;0,VLOOKUP(OverzichtGlas[[#This Row],[Code taak]],InvulGlas[],3,0)*E61*F61,0)</f>
        <v>0</v>
      </c>
    </row>
    <row r="62" spans="1:7" ht="15" customHeight="1">
      <c r="A62" s="257">
        <v>7</v>
      </c>
      <c r="B62" s="258" t="str">
        <f>VLOOKUP(OverzichtGlas[[#This Row],[Code Locatie]],Locaties[],2,0)</f>
        <v>Bestuursbureau</v>
      </c>
      <c r="C62" s="257">
        <v>1</v>
      </c>
      <c r="D62" s="259" t="str">
        <f>IF(Glasbewassing!$C62&gt;0,VLOOKUP(Glasbewassing!$C62,$A$8:$B$24,2,FALSE),"Hier vult u de inzet van eventuele hoogwerkers in")</f>
        <v>Gevelglas binnenzijde</v>
      </c>
      <c r="E62" s="260">
        <v>336</v>
      </c>
      <c r="F62" s="260">
        <v>2</v>
      </c>
      <c r="G62" s="261">
        <f>IF(C62&gt;0,VLOOKUP(OverzichtGlas[[#This Row],[Code taak]],InvulGlas[],3,0)*E62*F62,0)</f>
        <v>0</v>
      </c>
    </row>
    <row r="63" spans="1:7" ht="15" customHeight="1">
      <c r="A63" s="257">
        <v>7</v>
      </c>
      <c r="B63" s="258" t="str">
        <f>VLOOKUP(OverzichtGlas[[#This Row],[Code Locatie]],Locaties[],2,0)</f>
        <v>Bestuursbureau</v>
      </c>
      <c r="C63" s="257">
        <v>2</v>
      </c>
      <c r="D63" s="259" t="str">
        <f>IF(Glasbewassing!$C63&gt;0,VLOOKUP(Glasbewassing!$C63,$A$8:$B$24,2,FALSE),"Hier vult u de inzet van eventuele hoogwerkers in")</f>
        <v>Gevelglas buitenzijde</v>
      </c>
      <c r="E63" s="260">
        <v>348</v>
      </c>
      <c r="F63" s="260">
        <v>4</v>
      </c>
      <c r="G63" s="261">
        <f>IF(C63&gt;0,VLOOKUP(OverzichtGlas[[#This Row],[Code taak]],InvulGlas[],3,0)*E63*F63,0)</f>
        <v>0</v>
      </c>
    </row>
    <row r="64" spans="1:7" ht="15" customHeight="1">
      <c r="A64" s="257">
        <v>7</v>
      </c>
      <c r="B64" s="258" t="str">
        <f>VLOOKUP(OverzichtGlas[[#This Row],[Code Locatie]],Locaties[],2,0)</f>
        <v>Bestuursbureau</v>
      </c>
      <c r="C64" s="257">
        <v>3</v>
      </c>
      <c r="D64" s="259" t="str">
        <f>IF(Glasbewassing!$C64&gt;0,VLOOKUP(Glasbewassing!$C64,$A$8:$B$24,2,FALSE),"Hier vult u de inzet van eventuele hoogwerkers in")</f>
        <v>Separatieglas (enkel gemeten, dubbel te wassen)</v>
      </c>
      <c r="E64" s="260">
        <v>173</v>
      </c>
      <c r="F64" s="260">
        <v>2</v>
      </c>
      <c r="G64" s="261">
        <f>IF(C64&gt;0,VLOOKUP(OverzichtGlas[[#This Row],[Code taak]],InvulGlas[],3,0)*E64*F64,0)</f>
        <v>0</v>
      </c>
    </row>
    <row r="65" spans="1:7" ht="15" customHeight="1">
      <c r="A65" s="257">
        <v>7</v>
      </c>
      <c r="B65" s="258" t="str">
        <f>VLOOKUP(OverzichtGlas[[#This Row],[Code Locatie]],Locaties[],2,0)</f>
        <v>Bestuursbureau</v>
      </c>
      <c r="C65" s="257">
        <v>8</v>
      </c>
      <c r="D65" s="259" t="str">
        <f>IF(Glasbewassing!$C65&gt;0,VLOOKUP(Glasbewassing!$C65,$A$8:$B$24,2,FALSE),"Hier vult u de inzet van eventuele hoogwerkers in")</f>
        <v>Glas in lood dubbelzijdig</v>
      </c>
      <c r="E65" s="260">
        <v>12</v>
      </c>
      <c r="F65" s="260">
        <v>1</v>
      </c>
      <c r="G65" s="261">
        <f>IF(C65&gt;0,VLOOKUP(OverzichtGlas[[#This Row],[Code taak]],InvulGlas[],3,0)*E65*F65,0)</f>
        <v>0</v>
      </c>
    </row>
    <row r="66" spans="1:7" ht="15" customHeight="1">
      <c r="A66" s="257">
        <v>7</v>
      </c>
      <c r="B66" s="258" t="str">
        <f>VLOOKUP(OverzichtGlas[[#This Row],[Code Locatie]],Locaties[],2,0)</f>
        <v>Bestuursbureau</v>
      </c>
      <c r="C66" s="228"/>
      <c r="D66" s="259" t="str">
        <f>IF(Glasbewassing!$C66&gt;0,VLOOKUP(Glasbewassing!$C66,$A$8:$B$24,2,FALSE),"Hier vult u de inzet van eventuele hoogwerkers in")</f>
        <v>Hier vult u de inzet van eventuele hoogwerkers in</v>
      </c>
      <c r="E66" s="228"/>
      <c r="F66" s="260">
        <v>4</v>
      </c>
      <c r="G66" s="261">
        <f>IF(C66&gt;0,VLOOKUP(OverzichtGlas[[#This Row],[Code taak]],InvulGlas[],3,0)*E66*F66,0)</f>
        <v>0</v>
      </c>
    </row>
    <row r="67" spans="1:7" ht="15" customHeight="1">
      <c r="A67" s="257">
        <v>7</v>
      </c>
      <c r="B67" s="258" t="str">
        <f>VLOOKUP(OverzichtGlas[[#This Row],[Code Locatie]],Locaties[],2,0)</f>
        <v>Bestuursbureau</v>
      </c>
      <c r="C67" s="254" t="s">
        <v>1233</v>
      </c>
      <c r="D67" s="259" t="str">
        <f>IF(Glasbewassing!$C67&gt;0,VLOOKUP(Glasbewassing!$C67,$A$8:$B$24,2,FALSE),"Hier vult u de inzet van eventuele hoogwerkers in")</f>
        <v>Tuckerpool</v>
      </c>
      <c r="E67" s="228"/>
      <c r="F67" s="260">
        <v>4</v>
      </c>
      <c r="G67" s="261">
        <f>IF(C67&gt;0,VLOOKUP(OverzichtGlas[[#This Row],[Code taak]],InvulGlas[],3,0)*E67*F67,0)</f>
        <v>0</v>
      </c>
    </row>
    <row r="68" spans="1:7" ht="15" customHeight="1">
      <c r="A68" s="159" t="s">
        <v>33</v>
      </c>
      <c r="B68" s="160"/>
      <c r="C68" s="159"/>
      <c r="D68" s="161"/>
      <c r="E68" s="159"/>
      <c r="F68" s="159"/>
      <c r="G68" s="162">
        <f>SUBTOTAL(109,OverzichtGlas[Kosten/jaar excl. BTW])</f>
        <v>0</v>
      </c>
    </row>
    <row r="69" spans="1:7" ht="15" customHeight="1">
      <c r="C69" s="35"/>
      <c r="D69" s="35"/>
      <c r="E69" s="35"/>
      <c r="F69" s="41"/>
      <c r="G69" s="36"/>
    </row>
    <row r="70" spans="1:7" ht="15" customHeight="1">
      <c r="C70" s="21"/>
      <c r="D70" s="4"/>
    </row>
    <row r="71" spans="1:7" ht="15" customHeight="1">
      <c r="C71" s="21"/>
      <c r="D71" s="4"/>
    </row>
    <row r="72" spans="1:7" ht="15" customHeight="1">
      <c r="C72" s="21"/>
      <c r="D72" s="4"/>
    </row>
    <row r="73" spans="1:7" ht="15" customHeight="1">
      <c r="C73" s="21"/>
      <c r="D73" s="4"/>
    </row>
    <row r="74" spans="1:7" ht="15" customHeight="1">
      <c r="C74" s="21"/>
      <c r="D74" s="4"/>
    </row>
    <row r="75" spans="1:7" ht="15" customHeight="1">
      <c r="C75" s="21"/>
      <c r="D75" s="4"/>
    </row>
    <row r="76" spans="1:7" ht="15" customHeight="1">
      <c r="C76" s="21"/>
      <c r="D76" s="4"/>
    </row>
    <row r="77" spans="1:7" ht="15" customHeight="1">
      <c r="C77" s="21"/>
      <c r="D77" s="4"/>
    </row>
    <row r="78" spans="1:7" ht="15" customHeight="1">
      <c r="C78" s="21"/>
      <c r="D78" s="4"/>
    </row>
    <row r="79" spans="1:7" ht="15" customHeight="1">
      <c r="C79" s="21"/>
      <c r="D79" s="4"/>
    </row>
    <row r="80" spans="1:7" ht="15" customHeight="1">
      <c r="C80" s="21"/>
      <c r="D80" s="4"/>
    </row>
    <row r="81" spans="3:4" ht="15" customHeight="1">
      <c r="C81" s="21"/>
      <c r="D81" s="4"/>
    </row>
    <row r="82" spans="3:4" ht="15" customHeight="1">
      <c r="C82" s="21"/>
      <c r="D82" s="4"/>
    </row>
    <row r="83" spans="3:4" ht="15" customHeight="1">
      <c r="C83" s="21"/>
      <c r="D83" s="4"/>
    </row>
    <row r="84" spans="3:4" ht="15" customHeight="1">
      <c r="C84" s="21"/>
      <c r="D84" s="4"/>
    </row>
    <row r="85" spans="3:4" ht="15" customHeight="1">
      <c r="C85" s="21"/>
      <c r="D85" s="4"/>
    </row>
    <row r="86" spans="3:4" ht="15" customHeight="1">
      <c r="C86" s="21"/>
      <c r="D86" s="4"/>
    </row>
    <row r="87" spans="3:4" ht="15" customHeight="1">
      <c r="C87" s="21"/>
      <c r="D87" s="4"/>
    </row>
    <row r="88" spans="3:4" ht="15" customHeight="1">
      <c r="C88" s="21"/>
      <c r="D88" s="4"/>
    </row>
    <row r="89" spans="3:4" ht="15" customHeight="1">
      <c r="C89" s="21"/>
      <c r="D89" s="4"/>
    </row>
    <row r="90" spans="3:4" ht="15" customHeight="1">
      <c r="C90" s="21"/>
      <c r="D90" s="4"/>
    </row>
    <row r="91" spans="3:4" ht="15" customHeight="1">
      <c r="C91" s="21"/>
      <c r="D91" s="4"/>
    </row>
    <row r="92" spans="3:4" ht="15" customHeight="1">
      <c r="C92" s="21"/>
      <c r="D92" s="4"/>
    </row>
    <row r="93" spans="3:4" ht="15" customHeight="1">
      <c r="C93" s="21"/>
      <c r="D93" s="4"/>
    </row>
    <row r="94" spans="3:4" ht="15" customHeight="1">
      <c r="C94" s="21"/>
      <c r="D94" s="4"/>
    </row>
    <row r="95" spans="3:4" ht="15" customHeight="1">
      <c r="C95" s="21"/>
      <c r="D95" s="4"/>
    </row>
    <row r="96" spans="3:4" ht="15" customHeight="1">
      <c r="C96" s="21"/>
      <c r="D96" s="4"/>
    </row>
    <row r="97" spans="3:4" ht="15" customHeight="1">
      <c r="C97" s="21"/>
      <c r="D97" s="4"/>
    </row>
    <row r="98" spans="3:4" ht="15" customHeight="1">
      <c r="C98" s="21"/>
      <c r="D98" s="4"/>
    </row>
    <row r="99" spans="3:4" ht="15" customHeight="1">
      <c r="C99" s="21"/>
      <c r="D99" s="4"/>
    </row>
    <row r="100" spans="3:4" ht="15" customHeight="1">
      <c r="C100" s="21"/>
      <c r="D100" s="4"/>
    </row>
    <row r="101" spans="3:4" ht="15" customHeight="1">
      <c r="C101" s="21"/>
      <c r="D101" s="4"/>
    </row>
    <row r="102" spans="3:4" ht="15" customHeight="1">
      <c r="C102" s="21"/>
      <c r="D102" s="4"/>
    </row>
    <row r="103" spans="3:4" ht="15" customHeight="1">
      <c r="C103" s="21"/>
      <c r="D103" s="4"/>
    </row>
    <row r="104" spans="3:4" ht="15" customHeight="1">
      <c r="C104" s="21"/>
      <c r="D104" s="4"/>
    </row>
    <row r="105" spans="3:4" ht="15" customHeight="1">
      <c r="C105" s="21"/>
      <c r="D105" s="4"/>
    </row>
    <row r="106" spans="3:4" ht="15" customHeight="1">
      <c r="C106" s="21"/>
      <c r="D106" s="4"/>
    </row>
    <row r="107" spans="3:4" ht="15" customHeight="1">
      <c r="C107" s="21"/>
      <c r="D107" s="4"/>
    </row>
    <row r="108" spans="3:4" ht="15" customHeight="1">
      <c r="C108" s="21"/>
      <c r="D108" s="4"/>
    </row>
    <row r="109" spans="3:4" ht="15" customHeight="1">
      <c r="C109" s="21"/>
      <c r="D109" s="4"/>
    </row>
    <row r="110" spans="3:4" ht="15" customHeight="1">
      <c r="C110" s="21"/>
      <c r="D110" s="4"/>
    </row>
    <row r="111" spans="3:4" ht="15" customHeight="1">
      <c r="C111" s="21"/>
      <c r="D111" s="4"/>
    </row>
    <row r="112" spans="3:4" ht="15" customHeight="1">
      <c r="C112" s="21"/>
      <c r="D112" s="4"/>
    </row>
    <row r="113" spans="3:4" ht="15" customHeight="1">
      <c r="C113" s="21"/>
      <c r="D113" s="4"/>
    </row>
    <row r="114" spans="3:4" ht="15" customHeight="1">
      <c r="C114" s="21"/>
      <c r="D114" s="4"/>
    </row>
    <row r="115" spans="3:4" ht="15" customHeight="1">
      <c r="C115" s="21"/>
      <c r="D115" s="4"/>
    </row>
    <row r="116" spans="3:4" ht="15" customHeight="1">
      <c r="C116" s="21"/>
      <c r="D116" s="4"/>
    </row>
    <row r="117" spans="3:4" ht="15" customHeight="1">
      <c r="C117" s="21"/>
      <c r="D117" s="4"/>
    </row>
    <row r="118" spans="3:4" ht="15" customHeight="1">
      <c r="C118" s="21"/>
      <c r="D118" s="4"/>
    </row>
    <row r="119" spans="3:4" ht="15" customHeight="1">
      <c r="C119" s="21"/>
      <c r="D119" s="4"/>
    </row>
    <row r="120" spans="3:4" ht="15" customHeight="1">
      <c r="C120" s="21"/>
      <c r="D120" s="4"/>
    </row>
    <row r="121" spans="3:4" ht="15" customHeight="1">
      <c r="C121" s="21"/>
      <c r="D121" s="4"/>
    </row>
    <row r="122" spans="3:4" ht="15" customHeight="1">
      <c r="C122" s="21"/>
      <c r="D122" s="4"/>
    </row>
    <row r="123" spans="3:4" ht="15" customHeight="1">
      <c r="C123" s="21"/>
      <c r="D123" s="4"/>
    </row>
    <row r="124" spans="3:4" ht="15" customHeight="1">
      <c r="C124" s="21"/>
      <c r="D124" s="4"/>
    </row>
    <row r="125" spans="3:4" ht="15" customHeight="1">
      <c r="C125" s="21"/>
      <c r="D125" s="4"/>
    </row>
    <row r="126" spans="3:4" ht="15" customHeight="1">
      <c r="C126" s="21"/>
      <c r="D126" s="4"/>
    </row>
    <row r="127" spans="3:4" ht="15" customHeight="1">
      <c r="C127" s="21"/>
      <c r="D127" s="4"/>
    </row>
    <row r="128" spans="3:4" ht="15" customHeight="1">
      <c r="C128" s="21"/>
      <c r="D128" s="4"/>
    </row>
    <row r="129" spans="3:4" ht="15" customHeight="1">
      <c r="C129" s="21"/>
      <c r="D129" s="4"/>
    </row>
    <row r="130" spans="3:4" ht="15" customHeight="1">
      <c r="C130" s="21"/>
      <c r="D130" s="4"/>
    </row>
    <row r="131" spans="3:4" ht="15" customHeight="1">
      <c r="C131" s="21"/>
      <c r="D131" s="4"/>
    </row>
    <row r="132" spans="3:4" ht="15" customHeight="1">
      <c r="C132" s="21"/>
      <c r="D132" s="4"/>
    </row>
    <row r="133" spans="3:4" ht="15" customHeight="1">
      <c r="C133" s="21"/>
      <c r="D133" s="4"/>
    </row>
    <row r="134" spans="3:4" ht="15" customHeight="1">
      <c r="C134" s="21"/>
      <c r="D134" s="4"/>
    </row>
    <row r="135" spans="3:4" ht="15" customHeight="1">
      <c r="C135" s="21"/>
      <c r="D135" s="4"/>
    </row>
    <row r="136" spans="3:4" ht="15" customHeight="1">
      <c r="C136" s="21"/>
      <c r="D136" s="4"/>
    </row>
    <row r="137" spans="3:4" ht="15" customHeight="1">
      <c r="C137" s="21"/>
      <c r="D137" s="4"/>
    </row>
    <row r="138" spans="3:4" ht="15" customHeight="1">
      <c r="C138" s="21"/>
      <c r="D138" s="4"/>
    </row>
    <row r="139" spans="3:4" ht="15" customHeight="1">
      <c r="C139" s="21"/>
      <c r="D139" s="4"/>
    </row>
  </sheetData>
  <mergeCells count="3">
    <mergeCell ref="A2:G2"/>
    <mergeCell ref="A1:G1"/>
    <mergeCell ref="E7:I7"/>
  </mergeCells>
  <phoneticPr fontId="19" type="noConversion"/>
  <pageMargins left="0.70866141732283472" right="0.70866141732283472" top="0.35433070866141736" bottom="0.47244094488188981" header="0.31496062992125984" footer="0.31496062992125984"/>
  <pageSetup paperSize="9" scale="41" orientation="portrait" r:id="rId1"/>
  <headerFooter alignWithMargins="0">
    <oddFooter>&amp;L&amp;F&amp;C&amp;D&amp;R&amp;A</oddFooter>
  </headerFooter>
  <tableParts count="2">
    <tablePart r:id="rId2"/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 tint="-0.14999847407452621"/>
    <pageSetUpPr fitToPage="1"/>
  </sheetPr>
  <dimension ref="A1:I57"/>
  <sheetViews>
    <sheetView showGridLines="0" view="pageBreakPreview" zoomScaleNormal="100" zoomScaleSheetLayoutView="100" workbookViewId="0">
      <selection sqref="A1:H1"/>
    </sheetView>
  </sheetViews>
  <sheetFormatPr defaultColWidth="9.140625" defaultRowHeight="15" customHeight="1"/>
  <cols>
    <col min="1" max="1" width="9.7109375" style="4" customWidth="1"/>
    <col min="2" max="2" width="40" style="4" customWidth="1"/>
    <col min="3" max="3" width="14.85546875" style="21" customWidth="1"/>
    <col min="4" max="4" width="59.85546875" style="4" bestFit="1" customWidth="1"/>
    <col min="5" max="5" width="25.5703125" style="4" bestFit="1" customWidth="1"/>
    <col min="6" max="6" width="17.7109375" style="152" bestFit="1" customWidth="1"/>
    <col min="7" max="7" width="17.7109375" style="4" bestFit="1" customWidth="1"/>
    <col min="8" max="8" width="18" style="4" bestFit="1" customWidth="1"/>
    <col min="9" max="9" width="19" style="4" customWidth="1"/>
    <col min="10" max="16384" width="9.140625" style="4"/>
  </cols>
  <sheetData>
    <row r="1" spans="1:9" s="9" customFormat="1" ht="26.25" customHeight="1">
      <c r="A1" s="308" t="s">
        <v>167</v>
      </c>
      <c r="B1" s="308"/>
      <c r="C1" s="308"/>
      <c r="D1" s="308"/>
      <c r="E1" s="308"/>
      <c r="F1" s="308"/>
      <c r="G1" s="308"/>
      <c r="H1" s="308"/>
    </row>
    <row r="2" spans="1:9" s="9" customFormat="1" ht="15" customHeight="1">
      <c r="A2" s="347" t="s">
        <v>393</v>
      </c>
      <c r="B2" s="310"/>
      <c r="C2" s="310"/>
      <c r="D2" s="310"/>
      <c r="E2" s="310"/>
      <c r="F2" s="310"/>
      <c r="G2" s="310"/>
      <c r="H2" s="310"/>
    </row>
    <row r="3" spans="1:9" ht="15" customHeight="1">
      <c r="B3" s="21"/>
      <c r="C3" s="4"/>
    </row>
    <row r="4" spans="1:9" ht="15" customHeight="1">
      <c r="A4" s="4" t="s">
        <v>179</v>
      </c>
      <c r="B4" s="35"/>
      <c r="C4" s="35"/>
      <c r="D4" s="35"/>
      <c r="E4" s="35"/>
      <c r="F4" s="153"/>
      <c r="G4" s="36"/>
    </row>
    <row r="5" spans="1:9" ht="15" customHeight="1">
      <c r="A5" s="4" t="s">
        <v>244</v>
      </c>
      <c r="B5" s="35"/>
      <c r="C5" s="35"/>
      <c r="D5" s="35"/>
      <c r="E5" s="35"/>
      <c r="F5" s="153"/>
      <c r="G5" s="36"/>
    </row>
    <row r="6" spans="1:9" ht="15" customHeight="1">
      <c r="A6" s="4" t="s">
        <v>237</v>
      </c>
      <c r="B6" s="38"/>
      <c r="C6" s="39"/>
      <c r="D6" s="39"/>
      <c r="E6" s="39"/>
      <c r="F6" s="154"/>
    </row>
    <row r="7" spans="1:9" ht="15" customHeight="1">
      <c r="B7" s="38"/>
      <c r="C7" s="38"/>
      <c r="D7" s="34"/>
      <c r="E7" s="348" t="s">
        <v>384</v>
      </c>
      <c r="F7" s="348"/>
      <c r="G7" s="348"/>
      <c r="H7" s="348"/>
      <c r="I7" s="348"/>
    </row>
    <row r="8" spans="1:9" s="8" customFormat="1" ht="26.25" customHeight="1">
      <c r="A8" s="49" t="s">
        <v>209</v>
      </c>
      <c r="B8" s="50" t="s">
        <v>157</v>
      </c>
      <c r="C8" s="51" t="s">
        <v>149</v>
      </c>
      <c r="D8" s="49" t="s">
        <v>211</v>
      </c>
      <c r="E8" s="49" t="s">
        <v>394</v>
      </c>
      <c r="F8" s="49" t="s">
        <v>395</v>
      </c>
      <c r="G8" s="49" t="s">
        <v>396</v>
      </c>
      <c r="H8" s="49" t="s">
        <v>397</v>
      </c>
      <c r="I8" s="49" t="s">
        <v>1243</v>
      </c>
    </row>
    <row r="9" spans="1:9" ht="15" customHeight="1">
      <c r="A9" s="52">
        <v>1</v>
      </c>
      <c r="B9" s="53" t="s">
        <v>162</v>
      </c>
      <c r="C9" s="54">
        <v>0</v>
      </c>
      <c r="D9" s="57" t="s">
        <v>158</v>
      </c>
      <c r="E9" s="215" t="e">
        <f>(InvulVloer[[#This Row],[Prijs]]*Tariefsopbouw!$I$37)+InvulVloer[[#This Row],[Prijs]]</f>
        <v>#DIV/0!</v>
      </c>
      <c r="F9" s="217" t="e">
        <f>E9*Tariefsopbouw!$K$37+E9</f>
        <v>#DIV/0!</v>
      </c>
      <c r="G9" s="217" t="e">
        <f>F9*Tariefsopbouw!$M$37+F9</f>
        <v>#DIV/0!</v>
      </c>
      <c r="H9" s="217" t="e">
        <f>G9*Tariefsopbouw!$O$37+InvulVloer[[#This Row],[2025]]</f>
        <v>#DIV/0!</v>
      </c>
      <c r="I9" s="217" t="e">
        <f>H9*Tariefsopbouw!$Q$37+InvulVloer[[#This Row],[2026]]</f>
        <v>#DIV/0!</v>
      </c>
    </row>
    <row r="10" spans="1:9" ht="15" customHeight="1">
      <c r="A10" s="55">
        <v>2</v>
      </c>
      <c r="B10" s="56" t="s">
        <v>385</v>
      </c>
      <c r="C10" s="54">
        <v>0</v>
      </c>
      <c r="D10" s="59" t="s">
        <v>158</v>
      </c>
      <c r="E10" s="216" t="e">
        <f>(InvulVloer[[#This Row],[Prijs]]*Tariefsopbouw!$I$37)+InvulVloer[[#This Row],[Prijs]]</f>
        <v>#DIV/0!</v>
      </c>
      <c r="F10" s="216" t="e">
        <f>E10*Tariefsopbouw!$K$37+E10</f>
        <v>#DIV/0!</v>
      </c>
      <c r="G10" s="216" t="e">
        <f>F10*Tariefsopbouw!$M$37+F10</f>
        <v>#DIV/0!</v>
      </c>
      <c r="H10" s="216" t="e">
        <f>G10*Tariefsopbouw!$O$37+InvulVloer[[#This Row],[2025]]</f>
        <v>#DIV/0!</v>
      </c>
      <c r="I10" s="216" t="e">
        <f>H10*Tariefsopbouw!$Q$37+InvulVloer[[#This Row],[2026]]</f>
        <v>#DIV/0!</v>
      </c>
    </row>
    <row r="11" spans="1:9" ht="15" customHeight="1">
      <c r="A11" s="52">
        <v>3</v>
      </c>
      <c r="B11" s="53" t="s">
        <v>163</v>
      </c>
      <c r="C11" s="54">
        <v>0</v>
      </c>
      <c r="D11" s="57" t="s">
        <v>159</v>
      </c>
      <c r="E11" s="215" t="e">
        <f>(InvulVloer[[#This Row],[Prijs]]*Tariefsopbouw!$I$37)+InvulVloer[[#This Row],[Prijs]]</f>
        <v>#DIV/0!</v>
      </c>
      <c r="F11" s="215" t="e">
        <f>E11*Tariefsopbouw!$K$37+E11</f>
        <v>#DIV/0!</v>
      </c>
      <c r="G11" s="215" t="e">
        <f>F11*Tariefsopbouw!$M$37+F11</f>
        <v>#DIV/0!</v>
      </c>
      <c r="H11" s="215" t="e">
        <f>G11*Tariefsopbouw!$O$37+InvulVloer[[#This Row],[2025]]</f>
        <v>#DIV/0!</v>
      </c>
      <c r="I11" s="215" t="e">
        <f>H11*Tariefsopbouw!$Q$37+InvulVloer[[#This Row],[2026]]</f>
        <v>#DIV/0!</v>
      </c>
    </row>
    <row r="12" spans="1:9" ht="15" customHeight="1">
      <c r="A12" s="55">
        <v>4</v>
      </c>
      <c r="B12" s="56" t="s">
        <v>386</v>
      </c>
      <c r="C12" s="54">
        <v>0</v>
      </c>
      <c r="D12" s="59" t="s">
        <v>158</v>
      </c>
      <c r="E12" s="216" t="e">
        <f>(InvulVloer[[#This Row],[Prijs]]*Tariefsopbouw!$I$37)+InvulVloer[[#This Row],[Prijs]]</f>
        <v>#DIV/0!</v>
      </c>
      <c r="F12" s="216" t="e">
        <f>E12*Tariefsopbouw!$K$37+E12</f>
        <v>#DIV/0!</v>
      </c>
      <c r="G12" s="216" t="e">
        <f>F12*Tariefsopbouw!$M$37+F12</f>
        <v>#DIV/0!</v>
      </c>
      <c r="H12" s="216" t="e">
        <f>G12*Tariefsopbouw!$O$37+InvulVloer[[#This Row],[2025]]</f>
        <v>#DIV/0!</v>
      </c>
      <c r="I12" s="216" t="e">
        <f>H12*Tariefsopbouw!$Q$37+InvulVloer[[#This Row],[2026]]</f>
        <v>#DIV/0!</v>
      </c>
    </row>
    <row r="13" spans="1:9" ht="15" customHeight="1">
      <c r="A13" s="52">
        <v>5</v>
      </c>
      <c r="B13" s="53" t="s">
        <v>387</v>
      </c>
      <c r="C13" s="54">
        <v>0</v>
      </c>
      <c r="D13" s="57" t="s">
        <v>158</v>
      </c>
      <c r="E13" s="215" t="e">
        <f>(InvulVloer[[#This Row],[Prijs]]*Tariefsopbouw!$I$37)+InvulVloer[[#This Row],[Prijs]]</f>
        <v>#DIV/0!</v>
      </c>
      <c r="F13" s="215" t="e">
        <f>E13*Tariefsopbouw!$K$37+E13</f>
        <v>#DIV/0!</v>
      </c>
      <c r="G13" s="215" t="e">
        <f>F13*Tariefsopbouw!$M$37+F13</f>
        <v>#DIV/0!</v>
      </c>
      <c r="H13" s="215" t="e">
        <f>G13*Tariefsopbouw!$O$37+InvulVloer[[#This Row],[2025]]</f>
        <v>#DIV/0!</v>
      </c>
      <c r="I13" s="215" t="e">
        <f>H13*Tariefsopbouw!$Q$37+InvulVloer[[#This Row],[2026]]</f>
        <v>#DIV/0!</v>
      </c>
    </row>
    <row r="14" spans="1:9" ht="15" customHeight="1">
      <c r="A14" s="55">
        <v>6</v>
      </c>
      <c r="B14" s="56" t="s">
        <v>164</v>
      </c>
      <c r="C14" s="54">
        <v>0</v>
      </c>
      <c r="D14" s="59" t="s">
        <v>158</v>
      </c>
      <c r="E14" s="216" t="e">
        <f>(InvulVloer[[#This Row],[Prijs]]*Tariefsopbouw!$I$37)+InvulVloer[[#This Row],[Prijs]]</f>
        <v>#DIV/0!</v>
      </c>
      <c r="F14" s="216" t="e">
        <f>E14*Tariefsopbouw!$K$37+E14</f>
        <v>#DIV/0!</v>
      </c>
      <c r="G14" s="216" t="e">
        <f>F14*Tariefsopbouw!$M$37+F14</f>
        <v>#DIV/0!</v>
      </c>
      <c r="H14" s="216" t="e">
        <f>G14*Tariefsopbouw!$O$37+InvulVloer[[#This Row],[2025]]</f>
        <v>#DIV/0!</v>
      </c>
      <c r="I14" s="216" t="e">
        <f>H14*Tariefsopbouw!$Q$37+InvulVloer[[#This Row],[2026]]</f>
        <v>#DIV/0!</v>
      </c>
    </row>
    <row r="15" spans="1:9" ht="15" customHeight="1">
      <c r="A15" s="52">
        <v>7</v>
      </c>
      <c r="B15" s="57" t="s">
        <v>166</v>
      </c>
      <c r="C15" s="54">
        <v>0</v>
      </c>
      <c r="D15" s="57" t="s">
        <v>158</v>
      </c>
      <c r="E15" s="215" t="e">
        <f>(InvulVloer[[#This Row],[Prijs]]*Tariefsopbouw!$I$37)+InvulVloer[[#This Row],[Prijs]]</f>
        <v>#DIV/0!</v>
      </c>
      <c r="F15" s="215" t="e">
        <f>E15*Tariefsopbouw!$K$37+E15</f>
        <v>#DIV/0!</v>
      </c>
      <c r="G15" s="215" t="e">
        <f>F15*Tariefsopbouw!$M$37+F15</f>
        <v>#DIV/0!</v>
      </c>
      <c r="H15" s="215" t="e">
        <f>G15*Tariefsopbouw!$O$37+InvulVloer[[#This Row],[2025]]</f>
        <v>#DIV/0!</v>
      </c>
      <c r="I15" s="215" t="e">
        <f>H15*Tariefsopbouw!$Q$37+InvulVloer[[#This Row],[2026]]</f>
        <v>#DIV/0!</v>
      </c>
    </row>
    <row r="16" spans="1:9" ht="15" customHeight="1">
      <c r="A16" s="55">
        <v>8</v>
      </c>
      <c r="B16" s="58" t="s">
        <v>198</v>
      </c>
      <c r="C16" s="54">
        <v>0</v>
      </c>
      <c r="D16" s="59" t="s">
        <v>158</v>
      </c>
      <c r="E16" s="216" t="e">
        <f>(InvulVloer[[#This Row],[Prijs]]*Tariefsopbouw!$I$37)+InvulVloer[[#This Row],[Prijs]]</f>
        <v>#DIV/0!</v>
      </c>
      <c r="F16" s="216" t="e">
        <f>E16*Tariefsopbouw!$K$37+E16</f>
        <v>#DIV/0!</v>
      </c>
      <c r="G16" s="216" t="e">
        <f>F16*Tariefsopbouw!$M$37+F16</f>
        <v>#DIV/0!</v>
      </c>
      <c r="H16" s="216" t="e">
        <f>G16*Tariefsopbouw!$O$37+InvulVloer[[#This Row],[2025]]</f>
        <v>#DIV/0!</v>
      </c>
      <c r="I16" s="216" t="e">
        <f>H16*Tariefsopbouw!$Q$37+InvulVloer[[#This Row],[2026]]</f>
        <v>#DIV/0!</v>
      </c>
    </row>
    <row r="17" spans="1:9" ht="15" customHeight="1">
      <c r="B17" s="21"/>
      <c r="E17" s="40"/>
      <c r="F17" s="155"/>
      <c r="G17" s="40"/>
      <c r="H17" s="40"/>
    </row>
    <row r="18" spans="1:9" s="33" customFormat="1" ht="26.25" customHeight="1">
      <c r="A18" s="49" t="s">
        <v>208</v>
      </c>
      <c r="B18" s="50" t="s">
        <v>142</v>
      </c>
      <c r="C18" s="49" t="s">
        <v>209</v>
      </c>
      <c r="D18" s="60" t="s">
        <v>249</v>
      </c>
      <c r="E18" s="60" t="s">
        <v>1224</v>
      </c>
      <c r="F18" s="60" t="s">
        <v>160</v>
      </c>
      <c r="G18" s="156" t="s">
        <v>161</v>
      </c>
      <c r="H18" s="60" t="s">
        <v>165</v>
      </c>
      <c r="I18" s="61" t="s">
        <v>144</v>
      </c>
    </row>
    <row r="19" spans="1:9" ht="15" customHeight="1">
      <c r="A19" s="52">
        <v>1</v>
      </c>
      <c r="B19" s="57" t="str">
        <f>VLOOKUP(OverzichtVloer[[#This Row],[Code Locatie]],Locaties[],2,0)</f>
        <v>Praktijkonderwijs</v>
      </c>
      <c r="C19" s="52">
        <v>1</v>
      </c>
      <c r="D19" s="62" t="str">
        <f>IF(Vloeronderhoud!$C19&gt;0,VLOOKUP(Vloeronderhoud!$C19,$A$8:$B$16,2,FALSE),"")</f>
        <v>Sprayen/opblokken</v>
      </c>
      <c r="E19" s="62"/>
      <c r="F19" s="63" t="s">
        <v>107</v>
      </c>
      <c r="G19" s="157">
        <f>SUMIFS('Ruimtestaat'!$N:$N,'Ruimtestaat'!L:L,Vloeronderhoud!F19,'Ruimtestaat'!A:A,Vloeronderhoud!A19)</f>
        <v>1327.7600000000002</v>
      </c>
      <c r="H19" s="65">
        <v>1</v>
      </c>
      <c r="I19" s="64">
        <f>VLOOKUP(OverzichtVloer[[#This Row],[Code Taak]],InvulVloer[],3,3)*G19*H19</f>
        <v>0</v>
      </c>
    </row>
    <row r="20" spans="1:9" ht="15" customHeight="1">
      <c r="A20" s="55">
        <v>1</v>
      </c>
      <c r="B20" s="59" t="str">
        <f>VLOOKUP(OverzichtVloer[[#This Row],[Code Locatie]],Locaties[],2,0)</f>
        <v>Praktijkonderwijs</v>
      </c>
      <c r="C20" s="55">
        <v>2</v>
      </c>
      <c r="D20" s="66" t="str">
        <f>IF(Vloeronderhoud!$C20&gt;0,VLOOKUP(Vloeronderhoud!$C20,$A$8:$B$16,2,FALSE),"")</f>
        <v>Topstrippen en conserveren</v>
      </c>
      <c r="E20" s="66"/>
      <c r="F20" s="67" t="s">
        <v>107</v>
      </c>
      <c r="G20" s="158">
        <f>SUMIFS('Ruimtestaat'!$N:$N,'Ruimtestaat'!L:L,Vloeronderhoud!F20,'Ruimtestaat'!A:A,Vloeronderhoud!A20)</f>
        <v>1327.7600000000002</v>
      </c>
      <c r="H20" s="69">
        <v>1</v>
      </c>
      <c r="I20" s="68">
        <f>VLOOKUP(OverzichtVloer[[#This Row],[Code Taak]],InvulVloer[],3,3)*G20*H20</f>
        <v>0</v>
      </c>
    </row>
    <row r="21" spans="1:9" ht="15" customHeight="1">
      <c r="A21" s="52">
        <v>1</v>
      </c>
      <c r="B21" s="57" t="str">
        <f>VLOOKUP(OverzichtVloer[[#This Row],[Code Locatie]],Locaties[],2,0)</f>
        <v>Praktijkonderwijs</v>
      </c>
      <c r="C21" s="52">
        <v>8</v>
      </c>
      <c r="D21" s="62" t="str">
        <f>IF(Vloeronderhoud!$C21&gt;0,VLOOKUP(Vloeronderhoud!$C21,$A$8:$B$16,2,FALSE),"")</f>
        <v>Machinaal schrobben en droogzuigen</v>
      </c>
      <c r="E21" s="62"/>
      <c r="F21" s="63" t="s">
        <v>109</v>
      </c>
      <c r="G21" s="157">
        <f>SUMIFS('Ruimtestaat'!$N:$N,'Ruimtestaat'!L:L,Vloeronderhoud!F21,'Ruimtestaat'!A:A,Vloeronderhoud!A21)</f>
        <v>399.4</v>
      </c>
      <c r="H21" s="65">
        <v>2</v>
      </c>
      <c r="I21" s="64">
        <f>VLOOKUP(OverzichtVloer[[#This Row],[Code Taak]],InvulVloer[],3,3)*G21*H21</f>
        <v>0</v>
      </c>
    </row>
    <row r="22" spans="1:9" ht="15" customHeight="1">
      <c r="A22" s="55">
        <v>1</v>
      </c>
      <c r="B22" s="59" t="str">
        <f>VLOOKUP(OverzichtVloer[[#This Row],[Code Locatie]],Locaties[],2,0)</f>
        <v>Praktijkonderwijs</v>
      </c>
      <c r="C22" s="55">
        <v>8</v>
      </c>
      <c r="D22" s="66" t="str">
        <f>IF(Vloeronderhoud!$C22&gt;0,VLOOKUP(Vloeronderhoud!$C22,$A$8:$B$16,2,FALSE),"")</f>
        <v>Machinaal schrobben en droogzuigen</v>
      </c>
      <c r="E22" s="66"/>
      <c r="F22" s="67" t="s">
        <v>108</v>
      </c>
      <c r="G22" s="158">
        <f>SUMIFS('Ruimtestaat'!$N:$N,'Ruimtestaat'!L:L,Vloeronderhoud!F22,'Ruimtestaat'!A:A,Vloeronderhoud!A22)</f>
        <v>229.59999999999997</v>
      </c>
      <c r="H22" s="69">
        <v>2</v>
      </c>
      <c r="I22" s="68">
        <f>VLOOKUP(OverzichtVloer[[#This Row],[Code Taak]],InvulVloer[],3,3)*G22*H22</f>
        <v>0</v>
      </c>
    </row>
    <row r="23" spans="1:9" ht="15" customHeight="1">
      <c r="A23" s="52">
        <v>1</v>
      </c>
      <c r="B23" s="57" t="str">
        <f>VLOOKUP(OverzichtVloer[[#This Row],[Code Locatie]],Locaties[],2,0)</f>
        <v>Praktijkonderwijs</v>
      </c>
      <c r="C23" s="52">
        <v>8</v>
      </c>
      <c r="D23" s="62" t="str">
        <f>IF(Vloeronderhoud!$C23&gt;0,VLOOKUP(Vloeronderhoud!$C23,$A$8:$B$16,2,FALSE),"")</f>
        <v>Machinaal schrobben en droogzuigen</v>
      </c>
      <c r="E23" s="62" t="s">
        <v>1225</v>
      </c>
      <c r="F23" s="63" t="s">
        <v>108</v>
      </c>
      <c r="G23" s="157">
        <f>'Ruimtestaat'!O9+'Ruimtestaat'!O10+'Ruimtestaat'!O11+'Ruimtestaat'!O14+'Ruimtestaat'!O50</f>
        <v>215</v>
      </c>
      <c r="H23" s="65">
        <v>2</v>
      </c>
      <c r="I23" s="64">
        <f>VLOOKUP(OverzichtVloer[[#This Row],[Code Taak]],InvulVloer[],3,3)*G23*H23</f>
        <v>0</v>
      </c>
    </row>
    <row r="24" spans="1:9" ht="15" customHeight="1">
      <c r="A24" s="55">
        <v>1</v>
      </c>
      <c r="B24" s="59" t="str">
        <f>VLOOKUP(OverzichtVloer[[#This Row],[Code Locatie]],Locaties[],2,0)</f>
        <v>Praktijkonderwijs</v>
      </c>
      <c r="C24" s="55">
        <v>4</v>
      </c>
      <c r="D24" s="66" t="str">
        <f>IF(Vloeronderhoud!$C24&gt;0,VLOOKUP(Vloeronderhoud!$C24,$A$8:$B$16,2,FALSE),"")</f>
        <v>Tapijtreinigen, sproei-extractiemethode</v>
      </c>
      <c r="E24" s="66"/>
      <c r="F24" s="67" t="s">
        <v>106</v>
      </c>
      <c r="G24" s="158">
        <f>SUMIFS('Ruimtestaat'!$N:$N,'Ruimtestaat'!L:L,Vloeronderhoud!F24,'Ruimtestaat'!A:A,Vloeronderhoud!A24)</f>
        <v>94.62</v>
      </c>
      <c r="H24" s="69">
        <v>1</v>
      </c>
      <c r="I24" s="68">
        <f>VLOOKUP(OverzichtVloer[[#This Row],[Code Taak]],InvulVloer[],3,3)*G24*H24</f>
        <v>0</v>
      </c>
    </row>
    <row r="25" spans="1:9" ht="15" customHeight="1">
      <c r="A25" s="52">
        <v>2</v>
      </c>
      <c r="B25" s="57" t="str">
        <f>VLOOKUP(OverzichtVloer[[#This Row],[Code Locatie]],Locaties[],2,0)</f>
        <v>Losser</v>
      </c>
      <c r="C25" s="52">
        <v>1</v>
      </c>
      <c r="D25" s="62" t="str">
        <f>IF(Vloeronderhoud!$C25&gt;0,VLOOKUP(Vloeronderhoud!$C25,$A$8:$B$16,2,FALSE),"")</f>
        <v>Sprayen/opblokken</v>
      </c>
      <c r="E25" s="62"/>
      <c r="F25" s="63" t="s">
        <v>107</v>
      </c>
      <c r="G25" s="157">
        <f>SUMIFS('Ruimtestaat'!$N:$N,'Ruimtestaat'!L:L,Vloeronderhoud!F25,'Ruimtestaat'!A:A,Vloeronderhoud!A25)</f>
        <v>0</v>
      </c>
      <c r="H25" s="65">
        <v>1</v>
      </c>
      <c r="I25" s="64">
        <f>VLOOKUP(OverzichtVloer[[#This Row],[Code Taak]],InvulVloer[],3,3)*G25*H25</f>
        <v>0</v>
      </c>
    </row>
    <row r="26" spans="1:9" ht="15" customHeight="1">
      <c r="A26" s="55">
        <v>2</v>
      </c>
      <c r="B26" s="59" t="str">
        <f>VLOOKUP(OverzichtVloer[[#This Row],[Code Locatie]],Locaties[],2,0)</f>
        <v>Losser</v>
      </c>
      <c r="C26" s="55">
        <v>2</v>
      </c>
      <c r="D26" s="66" t="str">
        <f>IF(Vloeronderhoud!$C26&gt;0,VLOOKUP(Vloeronderhoud!$C26,$A$8:$B$16,2,FALSE),"")</f>
        <v>Topstrippen en conserveren</v>
      </c>
      <c r="E26" s="66"/>
      <c r="F26" s="67" t="s">
        <v>107</v>
      </c>
      <c r="G26" s="158">
        <f>SUMIFS('Ruimtestaat'!$N:$N,'Ruimtestaat'!L:L,Vloeronderhoud!F26,'Ruimtestaat'!A:A,Vloeronderhoud!A26)</f>
        <v>0</v>
      </c>
      <c r="H26" s="69">
        <v>1</v>
      </c>
      <c r="I26" s="68">
        <f>VLOOKUP(OverzichtVloer[[#This Row],[Code Taak]],InvulVloer[],3,3)*G26*H26</f>
        <v>0</v>
      </c>
    </row>
    <row r="27" spans="1:9" ht="15" customHeight="1">
      <c r="A27" s="52">
        <v>2</v>
      </c>
      <c r="B27" s="57" t="str">
        <f>VLOOKUP(OverzichtVloer[[#This Row],[Code Locatie]],Locaties[],2,0)</f>
        <v>Losser</v>
      </c>
      <c r="C27" s="52">
        <v>8</v>
      </c>
      <c r="D27" s="62" t="str">
        <f>IF(Vloeronderhoud!$C27&gt;0,VLOOKUP(Vloeronderhoud!$C27,$A$8:$B$16,2,FALSE),"")</f>
        <v>Machinaal schrobben en droogzuigen</v>
      </c>
      <c r="E27" s="62"/>
      <c r="F27" s="63" t="s">
        <v>109</v>
      </c>
      <c r="G27" s="157">
        <f>SUMIFS('Ruimtestaat'!$N:$N,'Ruimtestaat'!L:L,Vloeronderhoud!F27,'Ruimtestaat'!A:A,Vloeronderhoud!A27)</f>
        <v>4859.0727000000006</v>
      </c>
      <c r="H27" s="65">
        <v>2</v>
      </c>
      <c r="I27" s="64">
        <f>VLOOKUP(OverzichtVloer[[#This Row],[Code Taak]],InvulVloer[],3,3)*G27*H27</f>
        <v>0</v>
      </c>
    </row>
    <row r="28" spans="1:9" ht="15" customHeight="1">
      <c r="A28" s="55">
        <v>2</v>
      </c>
      <c r="B28" s="59" t="str">
        <f>VLOOKUP(OverzichtVloer[[#This Row],[Code Locatie]],Locaties[],2,0)</f>
        <v>Losser</v>
      </c>
      <c r="C28" s="55">
        <v>8</v>
      </c>
      <c r="D28" s="66" t="str">
        <f>IF(Vloeronderhoud!$C28&gt;0,VLOOKUP(Vloeronderhoud!$C28,$A$8:$B$16,2,FALSE),"")</f>
        <v>Machinaal schrobben en droogzuigen</v>
      </c>
      <c r="E28" s="66"/>
      <c r="F28" s="67" t="s">
        <v>108</v>
      </c>
      <c r="G28" s="158">
        <f>SUMIFS('Ruimtestaat'!$N:$N,'Ruimtestaat'!L:L,Vloeronderhoud!F28,'Ruimtestaat'!A:A,Vloeronderhoud!A28)</f>
        <v>124.37999999999997</v>
      </c>
      <c r="H28" s="69">
        <v>2</v>
      </c>
      <c r="I28" s="68">
        <f>VLOOKUP(OverzichtVloer[[#This Row],[Code Taak]],InvulVloer[],3,3)*G28*H28</f>
        <v>0</v>
      </c>
    </row>
    <row r="29" spans="1:9" ht="15" customHeight="1">
      <c r="A29" s="52">
        <v>2</v>
      </c>
      <c r="B29" s="57" t="str">
        <f>VLOOKUP(OverzichtVloer[[#This Row],[Code Locatie]],Locaties[],2,0)</f>
        <v>Losser</v>
      </c>
      <c r="C29" s="52">
        <v>4</v>
      </c>
      <c r="D29" s="62" t="str">
        <f>IF(Vloeronderhoud!$C29&gt;0,VLOOKUP(Vloeronderhoud!$C29,$A$8:$B$16,2,FALSE),"")</f>
        <v>Tapijtreinigen, sproei-extractiemethode</v>
      </c>
      <c r="E29" s="62"/>
      <c r="F29" s="63" t="s">
        <v>106</v>
      </c>
      <c r="G29" s="157">
        <f>SUMIFS('Ruimtestaat'!$N:$N,'Ruimtestaat'!L:L,Vloeronderhoud!F29,'Ruimtestaat'!A:A,Vloeronderhoud!A29)</f>
        <v>184.7</v>
      </c>
      <c r="H29" s="65">
        <v>1</v>
      </c>
      <c r="I29" s="64">
        <f>VLOOKUP(OverzichtVloer[[#This Row],[Code Taak]],InvulVloer[],3,3)*G29*H29</f>
        <v>0</v>
      </c>
    </row>
    <row r="30" spans="1:9" ht="15" customHeight="1">
      <c r="A30" s="55">
        <v>3</v>
      </c>
      <c r="B30" s="59" t="str">
        <f>VLOOKUP(OverzichtVloer[[#This Row],[Code Locatie]],Locaties[],2,0)</f>
        <v>Denekamp</v>
      </c>
      <c r="C30" s="55">
        <v>1</v>
      </c>
      <c r="D30" s="66" t="str">
        <f>IF(Vloeronderhoud!$C30&gt;0,VLOOKUP(Vloeronderhoud!$C30,$A$8:$B$16,2,FALSE),"")</f>
        <v>Sprayen/opblokken</v>
      </c>
      <c r="E30" s="66"/>
      <c r="F30" s="67" t="s">
        <v>107</v>
      </c>
      <c r="G30" s="158">
        <f>SUMIFS('Ruimtestaat'!$N:$N,'Ruimtestaat'!L:L,Vloeronderhoud!F30,'Ruimtestaat'!A:A,Vloeronderhoud!A30)</f>
        <v>467</v>
      </c>
      <c r="H30" s="69">
        <v>1</v>
      </c>
      <c r="I30" s="68">
        <f>VLOOKUP(OverzichtVloer[[#This Row],[Code Taak]],InvulVloer[],3,3)*G30*H30</f>
        <v>0</v>
      </c>
    </row>
    <row r="31" spans="1:9" ht="15" customHeight="1">
      <c r="A31" s="52">
        <v>3</v>
      </c>
      <c r="B31" s="57" t="str">
        <f>VLOOKUP(OverzichtVloer[[#This Row],[Code Locatie]],Locaties[],2,0)</f>
        <v>Denekamp</v>
      </c>
      <c r="C31" s="52">
        <v>2</v>
      </c>
      <c r="D31" s="62" t="str">
        <f>IF(Vloeronderhoud!$C31&gt;0,VLOOKUP(Vloeronderhoud!$C31,$A$8:$B$16,2,FALSE),"")</f>
        <v>Topstrippen en conserveren</v>
      </c>
      <c r="E31" s="62"/>
      <c r="F31" s="63" t="s">
        <v>107</v>
      </c>
      <c r="G31" s="157">
        <f>SUMIFS('Ruimtestaat'!$N:$N,'Ruimtestaat'!L:L,Vloeronderhoud!F31,'Ruimtestaat'!A:A,Vloeronderhoud!A31)</f>
        <v>467</v>
      </c>
      <c r="H31" s="65">
        <v>1</v>
      </c>
      <c r="I31" s="64">
        <f>VLOOKUP(OverzichtVloer[[#This Row],[Code Taak]],InvulVloer[],3,3)*G31*H31</f>
        <v>0</v>
      </c>
    </row>
    <row r="32" spans="1:9" ht="15" customHeight="1">
      <c r="A32" s="55">
        <v>3</v>
      </c>
      <c r="B32" s="59" t="str">
        <f>VLOOKUP(OverzichtVloer[[#This Row],[Code Locatie]],Locaties[],2,0)</f>
        <v>Denekamp</v>
      </c>
      <c r="C32" s="55">
        <v>8</v>
      </c>
      <c r="D32" s="66" t="str">
        <f>IF(Vloeronderhoud!$C32&gt;0,VLOOKUP(Vloeronderhoud!$C32,$A$8:$B$16,2,FALSE),"")</f>
        <v>Machinaal schrobben en droogzuigen</v>
      </c>
      <c r="E32" s="66"/>
      <c r="F32" s="67" t="s">
        <v>109</v>
      </c>
      <c r="G32" s="158">
        <f>SUMIFS('Ruimtestaat'!$N:$N,'Ruimtestaat'!L:L,Vloeronderhoud!F32,'Ruimtestaat'!A:A,Vloeronderhoud!A32)</f>
        <v>661.52</v>
      </c>
      <c r="H32" s="69">
        <v>2</v>
      </c>
      <c r="I32" s="68">
        <f>VLOOKUP(OverzichtVloer[[#This Row],[Code Taak]],InvulVloer[],3,3)*G32*H32</f>
        <v>0</v>
      </c>
    </row>
    <row r="33" spans="1:9" ht="15" customHeight="1">
      <c r="A33" s="52">
        <v>3</v>
      </c>
      <c r="B33" s="57" t="str">
        <f>VLOOKUP(OverzichtVloer[[#This Row],[Code Locatie]],Locaties[],2,0)</f>
        <v>Denekamp</v>
      </c>
      <c r="C33" s="52">
        <v>8</v>
      </c>
      <c r="D33" s="62" t="str">
        <f>IF(Vloeronderhoud!$C33&gt;0,VLOOKUP(Vloeronderhoud!$C33,$A$8:$B$16,2,FALSE),"")</f>
        <v>Machinaal schrobben en droogzuigen</v>
      </c>
      <c r="E33" s="62"/>
      <c r="F33" s="63" t="s">
        <v>108</v>
      </c>
      <c r="G33" s="157">
        <f>SUMIFS('Ruimtestaat'!$N:$N,'Ruimtestaat'!L:L,Vloeronderhoud!F33,'Ruimtestaat'!A:A,Vloeronderhoud!A33)</f>
        <v>401</v>
      </c>
      <c r="H33" s="65">
        <v>2</v>
      </c>
      <c r="I33" s="64">
        <f>VLOOKUP(OverzichtVloer[[#This Row],[Code Taak]],InvulVloer[],3,3)*G33*H33</f>
        <v>0</v>
      </c>
    </row>
    <row r="34" spans="1:9" ht="15" customHeight="1">
      <c r="A34" s="55">
        <v>3</v>
      </c>
      <c r="B34" s="59" t="str">
        <f>VLOOKUP(OverzichtVloer[[#This Row],[Code Locatie]],Locaties[],2,0)</f>
        <v>Denekamp</v>
      </c>
      <c r="C34" s="55">
        <v>4</v>
      </c>
      <c r="D34" s="66" t="str">
        <f>IF(Vloeronderhoud!$C34&gt;0,VLOOKUP(Vloeronderhoud!$C34,$A$8:$B$16,2,FALSE),"")</f>
        <v>Tapijtreinigen, sproei-extractiemethode</v>
      </c>
      <c r="E34" s="66"/>
      <c r="F34" s="67" t="s">
        <v>106</v>
      </c>
      <c r="G34" s="158">
        <f>SUMIFS('Ruimtestaat'!$N:$N,'Ruimtestaat'!L:L,Vloeronderhoud!F34,'Ruimtestaat'!A:A,Vloeronderhoud!A34)</f>
        <v>376</v>
      </c>
      <c r="H34" s="69">
        <v>1</v>
      </c>
      <c r="I34" s="68">
        <f>VLOOKUP(OverzichtVloer[[#This Row],[Code Taak]],InvulVloer[],3,3)*G34*H34</f>
        <v>0</v>
      </c>
    </row>
    <row r="35" spans="1:9" ht="15" customHeight="1">
      <c r="A35" s="52">
        <v>4</v>
      </c>
      <c r="B35" s="57" t="str">
        <f>VLOOKUP(OverzichtVloer[[#This Row],[Code Locatie]],Locaties[],2,0)</f>
        <v xml:space="preserve">Lyceumstraat </v>
      </c>
      <c r="C35" s="52">
        <v>1</v>
      </c>
      <c r="D35" s="62" t="str">
        <f>IF(Vloeronderhoud!$C35&gt;0,VLOOKUP(Vloeronderhoud!$C35,$A$8:$B$16,2,FALSE),"")</f>
        <v>Sprayen/opblokken</v>
      </c>
      <c r="E35" s="62"/>
      <c r="F35" s="63" t="s">
        <v>107</v>
      </c>
      <c r="G35" s="157">
        <f>SUMIFS('Ruimtestaat'!$N:$N,'Ruimtestaat'!L:L,Vloeronderhoud!F35,'Ruimtestaat'!A:A,Vloeronderhoud!A35)</f>
        <v>7020.5</v>
      </c>
      <c r="H35" s="65">
        <v>1</v>
      </c>
      <c r="I35" s="64">
        <f>VLOOKUP(OverzichtVloer[[#This Row],[Code Taak]],InvulVloer[],3,3)*G35*H35</f>
        <v>0</v>
      </c>
    </row>
    <row r="36" spans="1:9" ht="15" customHeight="1">
      <c r="A36" s="55">
        <v>4</v>
      </c>
      <c r="B36" s="59" t="str">
        <f>VLOOKUP(OverzichtVloer[[#This Row],[Code Locatie]],Locaties[],2,0)</f>
        <v xml:space="preserve">Lyceumstraat </v>
      </c>
      <c r="C36" s="55">
        <v>2</v>
      </c>
      <c r="D36" s="66" t="str">
        <f>IF(Vloeronderhoud!$C36&gt;0,VLOOKUP(Vloeronderhoud!$C36,$A$8:$B$16,2,FALSE),"")</f>
        <v>Topstrippen en conserveren</v>
      </c>
      <c r="E36" s="66"/>
      <c r="F36" s="67" t="s">
        <v>107</v>
      </c>
      <c r="G36" s="158">
        <f>SUMIFS('Ruimtestaat'!$N:$N,'Ruimtestaat'!L:L,Vloeronderhoud!F36,'Ruimtestaat'!A:A,Vloeronderhoud!A36)</f>
        <v>7020.5</v>
      </c>
      <c r="H36" s="69">
        <v>1</v>
      </c>
      <c r="I36" s="68">
        <f>VLOOKUP(OverzichtVloer[[#This Row],[Code Taak]],InvulVloer[],3,3)*G36*H36</f>
        <v>0</v>
      </c>
    </row>
    <row r="37" spans="1:9" ht="15" customHeight="1">
      <c r="A37" s="52">
        <v>4</v>
      </c>
      <c r="B37" s="57" t="str">
        <f>VLOOKUP(OverzichtVloer[[#This Row],[Code Locatie]],Locaties[],2,0)</f>
        <v xml:space="preserve">Lyceumstraat </v>
      </c>
      <c r="C37" s="52">
        <v>8</v>
      </c>
      <c r="D37" s="62" t="str">
        <f>IF(Vloeronderhoud!$C37&gt;0,VLOOKUP(Vloeronderhoud!$C37,$A$8:$B$16,2,FALSE),"")</f>
        <v>Machinaal schrobben en droogzuigen</v>
      </c>
      <c r="E37" s="62"/>
      <c r="F37" s="63" t="s">
        <v>109</v>
      </c>
      <c r="G37" s="157">
        <f>SUMIFS('Ruimtestaat'!$N:$N,'Ruimtestaat'!L:L,Vloeronderhoud!F37,'Ruimtestaat'!A:A,Vloeronderhoud!A37)</f>
        <v>620</v>
      </c>
      <c r="H37" s="65">
        <v>2</v>
      </c>
      <c r="I37" s="64">
        <f>VLOOKUP(OverzichtVloer[[#This Row],[Code Taak]],InvulVloer[],3,3)*G37*H37</f>
        <v>0</v>
      </c>
    </row>
    <row r="38" spans="1:9" ht="15" customHeight="1">
      <c r="A38" s="55">
        <v>4</v>
      </c>
      <c r="B38" s="59" t="str">
        <f>VLOOKUP(OverzichtVloer[[#This Row],[Code Locatie]],Locaties[],2,0)</f>
        <v xml:space="preserve">Lyceumstraat </v>
      </c>
      <c r="C38" s="55">
        <v>8</v>
      </c>
      <c r="D38" s="66" t="str">
        <f>IF(Vloeronderhoud!$C38&gt;0,VLOOKUP(Vloeronderhoud!$C38,$A$8:$B$16,2,FALSE),"")</f>
        <v>Machinaal schrobben en droogzuigen</v>
      </c>
      <c r="E38" s="66"/>
      <c r="F38" s="67" t="s">
        <v>108</v>
      </c>
      <c r="G38" s="158">
        <f>SUMIFS('Ruimtestaat'!$N:$N,'Ruimtestaat'!L:L,Vloeronderhoud!F38,'Ruimtestaat'!A:A,Vloeronderhoud!A38)</f>
        <v>1663</v>
      </c>
      <c r="H38" s="69">
        <v>2</v>
      </c>
      <c r="I38" s="68">
        <f>VLOOKUP(OverzichtVloer[[#This Row],[Code Taak]],InvulVloer[],3,3)*G38*H38</f>
        <v>0</v>
      </c>
    </row>
    <row r="39" spans="1:9" ht="15" customHeight="1">
      <c r="A39" s="52">
        <v>4</v>
      </c>
      <c r="B39" s="57" t="str">
        <f>VLOOKUP(OverzichtVloer[[#This Row],[Code Locatie]],Locaties[],2,0)</f>
        <v xml:space="preserve">Lyceumstraat </v>
      </c>
      <c r="C39" s="52">
        <v>4</v>
      </c>
      <c r="D39" s="62" t="str">
        <f>IF(Vloeronderhoud!$C39&gt;0,VLOOKUP(Vloeronderhoud!$C39,$A$8:$B$16,2,FALSE),"")</f>
        <v>Tapijtreinigen, sproei-extractiemethode</v>
      </c>
      <c r="E39" s="62"/>
      <c r="F39" s="63" t="s">
        <v>106</v>
      </c>
      <c r="G39" s="157">
        <f>SUMIFS('Ruimtestaat'!$N:$N,'Ruimtestaat'!L:L,Vloeronderhoud!F39,'Ruimtestaat'!A:A,Vloeronderhoud!A39)</f>
        <v>2400.5</v>
      </c>
      <c r="H39" s="65">
        <v>1</v>
      </c>
      <c r="I39" s="64">
        <f>VLOOKUP(OverzichtVloer[[#This Row],[Code Taak]],InvulVloer[],3,3)*G39*H39</f>
        <v>0</v>
      </c>
    </row>
    <row r="40" spans="1:9" ht="15" customHeight="1">
      <c r="A40" s="55">
        <v>5</v>
      </c>
      <c r="B40" s="59" t="str">
        <f>VLOOKUP(OverzichtVloer[[#This Row],[Code Locatie]],Locaties[],2,0)</f>
        <v>Potskamp</v>
      </c>
      <c r="C40" s="55">
        <v>1</v>
      </c>
      <c r="D40" s="66" t="str">
        <f>IF(Vloeronderhoud!$C40&gt;0,VLOOKUP(Vloeronderhoud!$C40,$A$8:$B$16,2,FALSE),"")</f>
        <v>Sprayen/opblokken</v>
      </c>
      <c r="E40" s="66"/>
      <c r="F40" s="67" t="s">
        <v>107</v>
      </c>
      <c r="G40" s="158">
        <f>SUMIFS('Ruimtestaat'!$N:$N,'Ruimtestaat'!L:L,Vloeronderhoud!F40,'Ruimtestaat'!A:A,Vloeronderhoud!A40)</f>
        <v>3011.24</v>
      </c>
      <c r="H40" s="69">
        <v>1</v>
      </c>
      <c r="I40" s="68">
        <f>VLOOKUP(OverzichtVloer[[#This Row],[Code Taak]],InvulVloer[],3,3)*G40*H40</f>
        <v>0</v>
      </c>
    </row>
    <row r="41" spans="1:9" ht="15" customHeight="1">
      <c r="A41" s="52">
        <v>5</v>
      </c>
      <c r="B41" s="57" t="str">
        <f>VLOOKUP(OverzichtVloer[[#This Row],[Code Locatie]],Locaties[],2,0)</f>
        <v>Potskamp</v>
      </c>
      <c r="C41" s="52">
        <v>2</v>
      </c>
      <c r="D41" s="62" t="str">
        <f>IF(Vloeronderhoud!$C41&gt;0,VLOOKUP(Vloeronderhoud!$C41,$A$8:$B$16,2,FALSE),"")</f>
        <v>Topstrippen en conserveren</v>
      </c>
      <c r="E41" s="62"/>
      <c r="F41" s="63" t="s">
        <v>107</v>
      </c>
      <c r="G41" s="157">
        <f>SUMIFS('Ruimtestaat'!$N:$N,'Ruimtestaat'!L:L,Vloeronderhoud!F41,'Ruimtestaat'!A:A,Vloeronderhoud!A41)</f>
        <v>3011.24</v>
      </c>
      <c r="H41" s="65">
        <v>1</v>
      </c>
      <c r="I41" s="64">
        <f>VLOOKUP(OverzichtVloer[[#This Row],[Code Taak]],InvulVloer[],3,3)*G41*H41</f>
        <v>0</v>
      </c>
    </row>
    <row r="42" spans="1:9" ht="15" customHeight="1">
      <c r="A42" s="55">
        <v>5</v>
      </c>
      <c r="B42" s="59" t="str">
        <f>VLOOKUP(OverzichtVloer[[#This Row],[Code Locatie]],Locaties[],2,0)</f>
        <v>Potskamp</v>
      </c>
      <c r="C42" s="55">
        <v>8</v>
      </c>
      <c r="D42" s="66" t="str">
        <f>IF(Vloeronderhoud!$C42&gt;0,VLOOKUP(Vloeronderhoud!$C42,$A$8:$B$16,2,FALSE),"")</f>
        <v>Machinaal schrobben en droogzuigen</v>
      </c>
      <c r="E42" s="66"/>
      <c r="F42" s="67" t="s">
        <v>109</v>
      </c>
      <c r="G42" s="158">
        <f>SUMIFS('Ruimtestaat'!$N:$N,'Ruimtestaat'!L:L,Vloeronderhoud!F42,'Ruimtestaat'!A:A,Vloeronderhoud!A42)</f>
        <v>5145.7400000000007</v>
      </c>
      <c r="H42" s="69">
        <v>2</v>
      </c>
      <c r="I42" s="68">
        <f>VLOOKUP(OverzichtVloer[[#This Row],[Code Taak]],InvulVloer[],3,3)*G42*H42</f>
        <v>0</v>
      </c>
    </row>
    <row r="43" spans="1:9" ht="15" customHeight="1">
      <c r="A43" s="52">
        <v>5</v>
      </c>
      <c r="B43" s="57" t="str">
        <f>VLOOKUP(OverzichtVloer[[#This Row],[Code Locatie]],Locaties[],2,0)</f>
        <v>Potskamp</v>
      </c>
      <c r="C43" s="52">
        <v>8</v>
      </c>
      <c r="D43" s="62" t="str">
        <f>IF(Vloeronderhoud!$C43&gt;0,VLOOKUP(Vloeronderhoud!$C43,$A$8:$B$16,2,FALSE),"")</f>
        <v>Machinaal schrobben en droogzuigen</v>
      </c>
      <c r="E43" s="62"/>
      <c r="F43" s="63" t="s">
        <v>108</v>
      </c>
      <c r="G43" s="157">
        <f>SUMIFS('Ruimtestaat'!$N:$N,'Ruimtestaat'!L:L,Vloeronderhoud!F43,'Ruimtestaat'!A:A,Vloeronderhoud!A43)</f>
        <v>5161.72</v>
      </c>
      <c r="H43" s="65">
        <v>2</v>
      </c>
      <c r="I43" s="64">
        <f>VLOOKUP(OverzichtVloer[[#This Row],[Code Taak]],InvulVloer[],3,3)*G43*H43</f>
        <v>0</v>
      </c>
    </row>
    <row r="44" spans="1:9" ht="33.75">
      <c r="A44" s="52">
        <v>5</v>
      </c>
      <c r="B44" s="57" t="str">
        <f>VLOOKUP(OverzichtVloer[[#This Row],[Code Locatie]],Locaties[],2,0)</f>
        <v>Potskamp</v>
      </c>
      <c r="C44" s="52">
        <v>8</v>
      </c>
      <c r="D44" s="62" t="str">
        <f>IF(Vloeronderhoud!$C44&gt;0,VLOOKUP(Vloeronderhoud!$C44,$A$8:$B$16,2,FALSE),"")</f>
        <v>Machinaal schrobben en droogzuigen</v>
      </c>
      <c r="E44" s="252" t="s">
        <v>1228</v>
      </c>
      <c r="F44" s="63" t="s">
        <v>108</v>
      </c>
      <c r="G44" s="157">
        <f>'Ruimtestaat'!N675+'Ruimtestaat'!N676</f>
        <v>318.5</v>
      </c>
      <c r="H44" s="65">
        <v>18</v>
      </c>
      <c r="I44" s="64">
        <f>VLOOKUP(OverzichtVloer[[#This Row],[Code Taak]],InvulVloer[],3,3)*G44*H44</f>
        <v>0</v>
      </c>
    </row>
    <row r="45" spans="1:9" ht="15" customHeight="1">
      <c r="A45" s="55">
        <v>5</v>
      </c>
      <c r="B45" s="59" t="str">
        <f>VLOOKUP(OverzichtVloer[[#This Row],[Code Locatie]],Locaties[],2,0)</f>
        <v>Potskamp</v>
      </c>
      <c r="C45" s="55">
        <v>4</v>
      </c>
      <c r="D45" s="66" t="str">
        <f>IF(Vloeronderhoud!$C45&gt;0,VLOOKUP(Vloeronderhoud!$C45,$A$8:$B$16,2,FALSE),"")</f>
        <v>Tapijtreinigen, sproei-extractiemethode</v>
      </c>
      <c r="E45" s="66"/>
      <c r="F45" s="67" t="s">
        <v>106</v>
      </c>
      <c r="G45" s="158">
        <f>SUMIFS('Ruimtestaat'!$N:$N,'Ruimtestaat'!L:L,Vloeronderhoud!F45,'Ruimtestaat'!A:A,Vloeronderhoud!A45)</f>
        <v>2278.8999999999996</v>
      </c>
      <c r="H45" s="69">
        <v>1</v>
      </c>
      <c r="I45" s="68">
        <f>VLOOKUP(OverzichtVloer[[#This Row],[Code Taak]],InvulVloer[],3,3)*G45*H45</f>
        <v>0</v>
      </c>
    </row>
    <row r="46" spans="1:9" ht="15" customHeight="1">
      <c r="A46" s="52">
        <v>6</v>
      </c>
      <c r="B46" s="57" t="str">
        <f>VLOOKUP(OverzichtVloer[[#This Row],[Code Locatie]],Locaties[],2,0)</f>
        <v>De Thij</v>
      </c>
      <c r="C46" s="52">
        <v>1</v>
      </c>
      <c r="D46" s="62" t="str">
        <f>IF(Vloeronderhoud!$C46&gt;0,VLOOKUP(Vloeronderhoud!$C46,$A$8:$B$16,2,FALSE),"")</f>
        <v>Sprayen/opblokken</v>
      </c>
      <c r="E46" s="62"/>
      <c r="F46" s="63" t="s">
        <v>107</v>
      </c>
      <c r="G46" s="157">
        <f>SUMIFS('Ruimtestaat'!$N:$N,'Ruimtestaat'!L:L,Vloeronderhoud!F46,'Ruimtestaat'!A:A,Vloeronderhoud!A46)</f>
        <v>8044.8199999999979</v>
      </c>
      <c r="H46" s="65">
        <v>1</v>
      </c>
      <c r="I46" s="64">
        <f>VLOOKUP(OverzichtVloer[[#This Row],[Code Taak]],InvulVloer[],3,3)*G46*H46</f>
        <v>0</v>
      </c>
    </row>
    <row r="47" spans="1:9" ht="15" customHeight="1">
      <c r="A47" s="55">
        <v>6</v>
      </c>
      <c r="B47" s="59" t="str">
        <f>VLOOKUP(OverzichtVloer[[#This Row],[Code Locatie]],Locaties[],2,0)</f>
        <v>De Thij</v>
      </c>
      <c r="C47" s="55">
        <v>2</v>
      </c>
      <c r="D47" s="66" t="str">
        <f>IF(Vloeronderhoud!$C47&gt;0,VLOOKUP(Vloeronderhoud!$C47,$A$8:$B$16,2,FALSE),"")</f>
        <v>Topstrippen en conserveren</v>
      </c>
      <c r="E47" s="66"/>
      <c r="F47" s="67" t="s">
        <v>107</v>
      </c>
      <c r="G47" s="158">
        <f>SUMIFS('Ruimtestaat'!$N:$N,'Ruimtestaat'!L:L,Vloeronderhoud!F47,'Ruimtestaat'!A:A,Vloeronderhoud!A47)</f>
        <v>8044.8199999999979</v>
      </c>
      <c r="H47" s="69">
        <v>1</v>
      </c>
      <c r="I47" s="68">
        <f>VLOOKUP(OverzichtVloer[[#This Row],[Code Taak]],InvulVloer[],3,3)*G47*H47</f>
        <v>0</v>
      </c>
    </row>
    <row r="48" spans="1:9" ht="15" customHeight="1">
      <c r="A48" s="52">
        <v>6</v>
      </c>
      <c r="B48" s="57" t="str">
        <f>VLOOKUP(OverzichtVloer[[#This Row],[Code Locatie]],Locaties[],2,0)</f>
        <v>De Thij</v>
      </c>
      <c r="C48" s="52">
        <v>8</v>
      </c>
      <c r="D48" s="62" t="str">
        <f>IF(Vloeronderhoud!$C48&gt;0,VLOOKUP(Vloeronderhoud!$C48,$A$8:$B$16,2,FALSE),"")</f>
        <v>Machinaal schrobben en droogzuigen</v>
      </c>
      <c r="E48" s="62"/>
      <c r="F48" s="63" t="s">
        <v>109</v>
      </c>
      <c r="G48" s="157">
        <f>SUMIFS('Ruimtestaat'!$N:$N,'Ruimtestaat'!L:L,Vloeronderhoud!F48,'Ruimtestaat'!A:A,Vloeronderhoud!A48)</f>
        <v>0</v>
      </c>
      <c r="H48" s="65">
        <v>2</v>
      </c>
      <c r="I48" s="64">
        <f>VLOOKUP(OverzichtVloer[[#This Row],[Code Taak]],InvulVloer[],3,3)*G48*H48</f>
        <v>0</v>
      </c>
    </row>
    <row r="49" spans="1:9" ht="15" customHeight="1">
      <c r="A49" s="55">
        <v>6</v>
      </c>
      <c r="B49" s="59" t="str">
        <f>VLOOKUP(OverzichtVloer[[#This Row],[Code Locatie]],Locaties[],2,0)</f>
        <v>De Thij</v>
      </c>
      <c r="C49" s="55">
        <v>8</v>
      </c>
      <c r="D49" s="66" t="str">
        <f>IF(Vloeronderhoud!$C49&gt;0,VLOOKUP(Vloeronderhoud!$C49,$A$8:$B$16,2,FALSE),"")</f>
        <v>Machinaal schrobben en droogzuigen</v>
      </c>
      <c r="E49" s="66"/>
      <c r="F49" s="67" t="s">
        <v>108</v>
      </c>
      <c r="G49" s="158">
        <f>SUMIFS('Ruimtestaat'!$N:$N,'Ruimtestaat'!L:L,Vloeronderhoud!F49,'Ruimtestaat'!A:A,Vloeronderhoud!A49)</f>
        <v>866.49999999999989</v>
      </c>
      <c r="H49" s="69">
        <v>2</v>
      </c>
      <c r="I49" s="68">
        <f>VLOOKUP(OverzichtVloer[[#This Row],[Code Taak]],InvulVloer[],3,3)*G49*H49</f>
        <v>0</v>
      </c>
    </row>
    <row r="50" spans="1:9" ht="15" customHeight="1">
      <c r="A50" s="52">
        <v>6</v>
      </c>
      <c r="B50" s="57" t="str">
        <f>VLOOKUP(OverzichtVloer[[#This Row],[Code Locatie]],Locaties[],2,0)</f>
        <v>De Thij</v>
      </c>
      <c r="C50" s="52">
        <v>4</v>
      </c>
      <c r="D50" s="62" t="str">
        <f>IF(Vloeronderhoud!$C50&gt;0,VLOOKUP(Vloeronderhoud!$C50,$A$8:$B$16,2,FALSE),"")</f>
        <v>Tapijtreinigen, sproei-extractiemethode</v>
      </c>
      <c r="E50" s="62"/>
      <c r="F50" s="63" t="s">
        <v>106</v>
      </c>
      <c r="G50" s="157">
        <f>SUMIFS('Ruimtestaat'!$N:$N,'Ruimtestaat'!L:L,Vloeronderhoud!F50,'Ruimtestaat'!A:A,Vloeronderhoud!A50)</f>
        <v>744.59</v>
      </c>
      <c r="H50" s="65">
        <v>1</v>
      </c>
      <c r="I50" s="64">
        <f>VLOOKUP(OverzichtVloer[[#This Row],[Code Taak]],InvulVloer[],3,3)*G50*H50</f>
        <v>0</v>
      </c>
    </row>
    <row r="51" spans="1:9" ht="15" customHeight="1">
      <c r="A51" s="55">
        <v>7</v>
      </c>
      <c r="B51" s="59" t="str">
        <f>VLOOKUP(OverzichtVloer[[#This Row],[Code Locatie]],Locaties[],2,0)</f>
        <v>Bestuursbureau</v>
      </c>
      <c r="C51" s="55">
        <v>1</v>
      </c>
      <c r="D51" s="66" t="str">
        <f>IF(Vloeronderhoud!$C51&gt;0,VLOOKUP(Vloeronderhoud!$C51,$A$8:$B$16,2,FALSE),"")</f>
        <v>Sprayen/opblokken</v>
      </c>
      <c r="E51" s="66"/>
      <c r="F51" s="67" t="s">
        <v>107</v>
      </c>
      <c r="G51" s="158">
        <f>SUMIFS('Ruimtestaat'!$N:$N,'Ruimtestaat'!L:L,Vloeronderhoud!F51,'Ruimtestaat'!A:A,Vloeronderhoud!A51)</f>
        <v>0</v>
      </c>
      <c r="H51" s="69">
        <v>1</v>
      </c>
      <c r="I51" s="68">
        <f>VLOOKUP(OverzichtVloer[[#This Row],[Code Taak]],InvulVloer[],3,3)*G51*H51</f>
        <v>0</v>
      </c>
    </row>
    <row r="52" spans="1:9" ht="15" customHeight="1">
      <c r="A52" s="52">
        <v>7</v>
      </c>
      <c r="B52" s="57" t="str">
        <f>VLOOKUP(OverzichtVloer[[#This Row],[Code Locatie]],Locaties[],2,0)</f>
        <v>Bestuursbureau</v>
      </c>
      <c r="C52" s="52">
        <v>2</v>
      </c>
      <c r="D52" s="62" t="str">
        <f>IF(Vloeronderhoud!$C52&gt;0,VLOOKUP(Vloeronderhoud!$C52,$A$8:$B$16,2,FALSE),"")</f>
        <v>Topstrippen en conserveren</v>
      </c>
      <c r="E52" s="62"/>
      <c r="F52" s="63" t="s">
        <v>107</v>
      </c>
      <c r="G52" s="157">
        <f>SUMIFS('Ruimtestaat'!$N:$N,'Ruimtestaat'!L:L,Vloeronderhoud!F52,'Ruimtestaat'!A:A,Vloeronderhoud!A52)</f>
        <v>0</v>
      </c>
      <c r="H52" s="65">
        <v>1</v>
      </c>
      <c r="I52" s="64">
        <f>VLOOKUP(OverzichtVloer[[#This Row],[Code Taak]],InvulVloer[],3,3)*G52*H52</f>
        <v>0</v>
      </c>
    </row>
    <row r="53" spans="1:9" ht="15" customHeight="1">
      <c r="A53" s="55">
        <v>7</v>
      </c>
      <c r="B53" s="59" t="str">
        <f>VLOOKUP(OverzichtVloer[[#This Row],[Code Locatie]],Locaties[],2,0)</f>
        <v>Bestuursbureau</v>
      </c>
      <c r="C53" s="55">
        <v>8</v>
      </c>
      <c r="D53" s="66" t="str">
        <f>IF(Vloeronderhoud!$C53&gt;0,VLOOKUP(Vloeronderhoud!$C53,$A$8:$B$16,2,FALSE),"")</f>
        <v>Machinaal schrobben en droogzuigen</v>
      </c>
      <c r="E53" s="66"/>
      <c r="F53" s="67" t="s">
        <v>109</v>
      </c>
      <c r="G53" s="158">
        <f>SUMIFS('Ruimtestaat'!$N:$N,'Ruimtestaat'!L:L,Vloeronderhoud!F53,'Ruimtestaat'!A:A,Vloeronderhoud!A53)</f>
        <v>127.88</v>
      </c>
      <c r="H53" s="69">
        <v>2</v>
      </c>
      <c r="I53" s="68">
        <f>VLOOKUP(OverzichtVloer[[#This Row],[Code Taak]],InvulVloer[],3,3)*G53*H53</f>
        <v>0</v>
      </c>
    </row>
    <row r="54" spans="1:9" ht="15" customHeight="1">
      <c r="A54" s="52">
        <v>7</v>
      </c>
      <c r="B54" s="57" t="str">
        <f>VLOOKUP(OverzichtVloer[[#This Row],[Code Locatie]],Locaties[],2,0)</f>
        <v>Bestuursbureau</v>
      </c>
      <c r="C54" s="52">
        <v>8</v>
      </c>
      <c r="D54" s="62" t="str">
        <f>IF(Vloeronderhoud!$C54&gt;0,VLOOKUP(Vloeronderhoud!$C54,$A$8:$B$16,2,FALSE),"")</f>
        <v>Machinaal schrobben en droogzuigen</v>
      </c>
      <c r="E54" s="62"/>
      <c r="F54" s="63" t="s">
        <v>108</v>
      </c>
      <c r="G54" s="157">
        <f>SUMIFS('Ruimtestaat'!$N:$N,'Ruimtestaat'!L:L,Vloeronderhoud!F54,'Ruimtestaat'!A:A,Vloeronderhoud!A54)</f>
        <v>40.799999999999997</v>
      </c>
      <c r="H54" s="65">
        <v>2</v>
      </c>
      <c r="I54" s="64">
        <f>VLOOKUP(OverzichtVloer[[#This Row],[Code Taak]],InvulVloer[],3,3)*G54*H54</f>
        <v>0</v>
      </c>
    </row>
    <row r="55" spans="1:9" ht="15" customHeight="1">
      <c r="A55" s="55">
        <v>7</v>
      </c>
      <c r="B55" s="59" t="str">
        <f>VLOOKUP(OverzichtVloer[[#This Row],[Code Locatie]],Locaties[],2,0)</f>
        <v>Bestuursbureau</v>
      </c>
      <c r="C55" s="55">
        <v>4</v>
      </c>
      <c r="D55" s="66" t="str">
        <f>IF(Vloeronderhoud!$C55&gt;0,VLOOKUP(Vloeronderhoud!$C55,$A$8:$B$16,2,FALSE),"")</f>
        <v>Tapijtreinigen, sproei-extractiemethode</v>
      </c>
      <c r="E55" s="66"/>
      <c r="F55" s="67" t="s">
        <v>106</v>
      </c>
      <c r="G55" s="158">
        <f>SUMIFS('Ruimtestaat'!$N:$N,'Ruimtestaat'!L:L,Vloeronderhoud!F55,'Ruimtestaat'!A:A,Vloeronderhoud!A55)</f>
        <v>1230.3800000000001</v>
      </c>
      <c r="H55" s="69">
        <v>1</v>
      </c>
      <c r="I55" s="68">
        <f>VLOOKUP(OverzichtVloer[[#This Row],[Code Taak]],InvulVloer[],3,3)*G55*H55</f>
        <v>0</v>
      </c>
    </row>
    <row r="56" spans="1:9" ht="15" customHeight="1">
      <c r="A56" s="166"/>
      <c r="B56" s="167" t="s">
        <v>33</v>
      </c>
      <c r="C56" s="166"/>
      <c r="D56" s="168"/>
      <c r="E56" s="168"/>
      <c r="F56" s="166"/>
      <c r="G56" s="169"/>
      <c r="H56" s="166"/>
      <c r="I56" s="170">
        <f>SUBTOTAL(109,OverzichtVloer[Kosten/jaar excl. BTW])</f>
        <v>0</v>
      </c>
    </row>
    <row r="57" spans="1:9" ht="15" customHeight="1">
      <c r="A57" s="37"/>
      <c r="C57" s="35"/>
      <c r="D57" s="35"/>
      <c r="E57" s="35"/>
      <c r="F57" s="155"/>
      <c r="G57" s="41"/>
      <c r="H57" s="36"/>
    </row>
  </sheetData>
  <mergeCells count="3">
    <mergeCell ref="A1:H1"/>
    <mergeCell ref="A2:H2"/>
    <mergeCell ref="E7:I7"/>
  </mergeCells>
  <pageMargins left="0.70866141732283472" right="0.70866141732283472" top="0.35433070866141736" bottom="0.47244094488188981" header="0.31496062992125984" footer="0.31496062992125984"/>
  <pageSetup paperSize="9" scale="60" fitToHeight="0" orientation="landscape" r:id="rId1"/>
  <headerFooter alignWithMargins="0">
    <oddFooter>&amp;L&amp;F&amp;C&amp;D&amp;R&amp;A</oddFooter>
  </headerFooter>
  <tableParts count="2">
    <tablePart r:id="rId2"/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0B3A7-94E5-4EA1-AF9F-EF3A6BC8056C}">
  <sheetPr>
    <tabColor theme="0" tint="-0.14999847407452621"/>
    <pageSetUpPr fitToPage="1"/>
  </sheetPr>
  <dimension ref="A1:J78"/>
  <sheetViews>
    <sheetView view="pageBreakPreview" zoomScaleNormal="100" zoomScaleSheetLayoutView="100" workbookViewId="0">
      <selection sqref="A1:H1"/>
    </sheetView>
  </sheetViews>
  <sheetFormatPr defaultColWidth="9.140625" defaultRowHeight="11.25"/>
  <cols>
    <col min="1" max="1" width="9.7109375" style="4" customWidth="1"/>
    <col min="2" max="2" width="56.28515625" style="4" customWidth="1"/>
    <col min="3" max="3" width="14.85546875" style="21" customWidth="1"/>
    <col min="4" max="4" width="59.85546875" style="4" bestFit="1" customWidth="1"/>
    <col min="5" max="5" width="31" style="4" customWidth="1"/>
    <col min="6" max="6" width="17.7109375" style="152" bestFit="1" customWidth="1"/>
    <col min="7" max="7" width="17.7109375" style="4" bestFit="1" customWidth="1"/>
    <col min="8" max="8" width="19.85546875" style="4" customWidth="1"/>
    <col min="9" max="9" width="19.7109375" style="4" customWidth="1"/>
    <col min="10" max="10" width="13.85546875" style="4" customWidth="1"/>
    <col min="11" max="16384" width="9.140625" style="4"/>
  </cols>
  <sheetData>
    <row r="1" spans="1:9" s="9" customFormat="1" ht="26.25" customHeight="1">
      <c r="A1" s="308" t="s">
        <v>1268</v>
      </c>
      <c r="B1" s="308"/>
      <c r="C1" s="308"/>
      <c r="D1" s="308"/>
      <c r="E1" s="308"/>
      <c r="F1" s="308"/>
      <c r="G1" s="308"/>
      <c r="H1" s="308"/>
    </row>
    <row r="2" spans="1:9" s="9" customFormat="1" ht="15" customHeight="1">
      <c r="A2" s="347" t="s">
        <v>393</v>
      </c>
      <c r="B2" s="310"/>
      <c r="C2" s="310"/>
      <c r="D2" s="310"/>
      <c r="E2" s="310"/>
      <c r="F2" s="310"/>
      <c r="G2" s="310"/>
      <c r="H2" s="310"/>
    </row>
    <row r="3" spans="1:9" ht="15" customHeight="1">
      <c r="B3" s="21"/>
      <c r="C3" s="4"/>
    </row>
    <row r="4" spans="1:9" ht="15" customHeight="1">
      <c r="A4" s="4" t="s">
        <v>179</v>
      </c>
      <c r="B4" s="35"/>
      <c r="C4" s="35"/>
      <c r="D4" s="35"/>
      <c r="E4" s="35"/>
      <c r="F4" s="153"/>
      <c r="G4" s="36"/>
    </row>
    <row r="5" spans="1:9" ht="15" customHeight="1">
      <c r="A5" s="4" t="s">
        <v>244</v>
      </c>
      <c r="B5" s="35"/>
      <c r="C5" s="35"/>
      <c r="D5" s="35"/>
      <c r="E5" s="35"/>
      <c r="F5" s="153"/>
      <c r="G5" s="36"/>
    </row>
    <row r="6" spans="1:9" ht="15" customHeight="1">
      <c r="A6" s="4" t="s">
        <v>237</v>
      </c>
      <c r="B6" s="38"/>
      <c r="C6" s="39"/>
      <c r="D6" s="39"/>
      <c r="E6" s="39"/>
      <c r="F6" s="154"/>
    </row>
    <row r="7" spans="1:9" ht="15" customHeight="1">
      <c r="B7" s="38"/>
      <c r="C7" s="38"/>
      <c r="D7" s="34"/>
      <c r="E7" s="348" t="s">
        <v>384</v>
      </c>
      <c r="F7" s="348"/>
      <c r="G7" s="348"/>
      <c r="H7" s="348"/>
      <c r="I7" s="348"/>
    </row>
    <row r="8" spans="1:9" s="8" customFormat="1" ht="26.25" customHeight="1">
      <c r="A8" s="49" t="s">
        <v>209</v>
      </c>
      <c r="B8" s="50" t="s">
        <v>157</v>
      </c>
      <c r="C8" s="51" t="s">
        <v>149</v>
      </c>
      <c r="D8" s="49" t="s">
        <v>1389</v>
      </c>
      <c r="E8" s="49" t="s">
        <v>394</v>
      </c>
      <c r="F8" s="49" t="s">
        <v>395</v>
      </c>
      <c r="G8" s="49" t="s">
        <v>396</v>
      </c>
      <c r="H8" s="49" t="s">
        <v>397</v>
      </c>
      <c r="I8" s="49" t="s">
        <v>1243</v>
      </c>
    </row>
    <row r="9" spans="1:9" ht="22.5">
      <c r="A9" s="257">
        <v>1</v>
      </c>
      <c r="B9" s="292" t="s">
        <v>1223</v>
      </c>
      <c r="C9" s="253">
        <f>Tariefsopbouw!$E$35</f>
        <v>0</v>
      </c>
      <c r="D9" s="258" t="s">
        <v>183</v>
      </c>
      <c r="E9" s="280" t="e">
        <f>(InvulExtraW[[#This Row],[Prijs]]*Tariefsopbouw!$I$37)+InvulExtraW[[#This Row],[Prijs]]</f>
        <v>#DIV/0!</v>
      </c>
      <c r="F9" s="291" t="e">
        <f>E9*Tariefsopbouw!$K$37+E9</f>
        <v>#DIV/0!</v>
      </c>
      <c r="G9" s="291" t="e">
        <f>F9*Tariefsopbouw!$M$37+F9</f>
        <v>#DIV/0!</v>
      </c>
      <c r="H9" s="291" t="e">
        <f>G9*Tariefsopbouw!$O$37+InvulExtraW[[#This Row],[2025]]</f>
        <v>#DIV/0!</v>
      </c>
      <c r="I9" s="291" t="e">
        <f>H9*Tariefsopbouw!$Q$37+InvulExtraW[[#This Row],[2026]]</f>
        <v>#DIV/0!</v>
      </c>
    </row>
    <row r="10" spans="1:9" ht="22.5">
      <c r="A10" s="257">
        <v>2</v>
      </c>
      <c r="B10" s="292" t="s">
        <v>1385</v>
      </c>
      <c r="C10" s="253">
        <f>Tariefsopbouw!$E$35</f>
        <v>0</v>
      </c>
      <c r="D10" s="258" t="s">
        <v>183</v>
      </c>
      <c r="E10" s="280" t="e">
        <f>(InvulExtraW[[#This Row],[Prijs]]*Tariefsopbouw!$I$37)+InvulExtraW[[#This Row],[Prijs]]</f>
        <v>#DIV/0!</v>
      </c>
      <c r="F10" s="280" t="e">
        <f>E10*Tariefsopbouw!$K$37+E10</f>
        <v>#DIV/0!</v>
      </c>
      <c r="G10" s="280" t="e">
        <f>F10*Tariefsopbouw!$M$37+F10</f>
        <v>#DIV/0!</v>
      </c>
      <c r="H10" s="280" t="e">
        <f>G10*Tariefsopbouw!$O$37+InvulExtraW[[#This Row],[2025]]</f>
        <v>#DIV/0!</v>
      </c>
      <c r="I10" s="280" t="e">
        <f>H10*Tariefsopbouw!$Q$37+InvulExtraW[[#This Row],[2026]]</f>
        <v>#DIV/0!</v>
      </c>
    </row>
    <row r="11" spans="1:9" ht="13.5" customHeight="1">
      <c r="A11" s="257">
        <v>3</v>
      </c>
      <c r="B11" s="293" t="s">
        <v>1386</v>
      </c>
      <c r="C11" s="54">
        <v>0</v>
      </c>
      <c r="D11" s="258" t="s">
        <v>183</v>
      </c>
      <c r="E11" s="280" t="e">
        <f>(InvulExtraW[[#This Row],[Prijs]]*Tariefsopbouw!$I$37)+InvulExtraW[[#This Row],[Prijs]]</f>
        <v>#DIV/0!</v>
      </c>
      <c r="F11" s="280" t="e">
        <f>E11*Tariefsopbouw!$K$37+E11</f>
        <v>#DIV/0!</v>
      </c>
      <c r="G11" s="280" t="e">
        <f>F11*Tariefsopbouw!$M$37+F11</f>
        <v>#DIV/0!</v>
      </c>
      <c r="H11" s="280" t="e">
        <f>G11*Tariefsopbouw!$O$37+InvulExtraW[[#This Row],[2025]]</f>
        <v>#DIV/0!</v>
      </c>
      <c r="I11" s="280" t="e">
        <f>H11*Tariefsopbouw!$Q$37+InvulExtraW[[#This Row],[2026]]</f>
        <v>#DIV/0!</v>
      </c>
    </row>
    <row r="12" spans="1:9" ht="13.5" customHeight="1">
      <c r="A12" s="257">
        <v>4</v>
      </c>
      <c r="B12" s="293" t="s">
        <v>1390</v>
      </c>
      <c r="C12" s="54">
        <v>0</v>
      </c>
      <c r="D12" s="258" t="s">
        <v>183</v>
      </c>
      <c r="E12" s="280" t="e">
        <f>(InvulExtraW[[#This Row],[Prijs]]*Tariefsopbouw!$I$37)+InvulExtraW[[#This Row],[Prijs]]</f>
        <v>#DIV/0!</v>
      </c>
      <c r="F12" s="280" t="e">
        <f>E12*Tariefsopbouw!$K$37+E12</f>
        <v>#DIV/0!</v>
      </c>
      <c r="G12" s="280" t="e">
        <f>F12*Tariefsopbouw!$M$37+F12</f>
        <v>#DIV/0!</v>
      </c>
      <c r="H12" s="280" t="e">
        <f>G12*Tariefsopbouw!$O$37+InvulExtraW[[#This Row],[2025]]</f>
        <v>#DIV/0!</v>
      </c>
      <c r="I12" s="280" t="e">
        <f>H12*Tariefsopbouw!$Q$37+InvulExtraW[[#This Row],[2026]]</f>
        <v>#DIV/0!</v>
      </c>
    </row>
    <row r="13" spans="1:9" ht="13.5" customHeight="1">
      <c r="A13" s="257">
        <v>5</v>
      </c>
      <c r="B13" s="293" t="s">
        <v>1391</v>
      </c>
      <c r="C13" s="54">
        <v>0</v>
      </c>
      <c r="D13" s="258" t="s">
        <v>183</v>
      </c>
      <c r="E13" s="280" t="e">
        <f>(InvulExtraW[[#This Row],[Prijs]]*Tariefsopbouw!$I$37)+InvulExtraW[[#This Row],[Prijs]]</f>
        <v>#DIV/0!</v>
      </c>
      <c r="F13" s="280" t="e">
        <f>E13*Tariefsopbouw!$K$37+E13</f>
        <v>#DIV/0!</v>
      </c>
      <c r="G13" s="280" t="e">
        <f>F13*Tariefsopbouw!$M$37+F13</f>
        <v>#DIV/0!</v>
      </c>
      <c r="H13" s="280" t="e">
        <f>G13*Tariefsopbouw!$O$37+InvulExtraW[[#This Row],[2025]]</f>
        <v>#DIV/0!</v>
      </c>
      <c r="I13" s="280" t="e">
        <f>H13*Tariefsopbouw!$Q$37+InvulExtraW[[#This Row],[2026]]</f>
        <v>#DIV/0!</v>
      </c>
    </row>
    <row r="14" spans="1:9" ht="13.5" customHeight="1">
      <c r="A14" s="257">
        <v>6</v>
      </c>
      <c r="B14" s="188" t="s">
        <v>1406</v>
      </c>
      <c r="C14" s="253">
        <f>Tariefsopbouw!$E$35</f>
        <v>0</v>
      </c>
      <c r="D14" s="258" t="s">
        <v>183</v>
      </c>
      <c r="E14" s="280" t="e">
        <f>(InvulExtraW[[#This Row],[Prijs]]*Tariefsopbouw!$I$37)+InvulExtraW[[#This Row],[Prijs]]</f>
        <v>#DIV/0!</v>
      </c>
      <c r="F14" s="280" t="e">
        <f>E14*Tariefsopbouw!$K$37+E14</f>
        <v>#DIV/0!</v>
      </c>
      <c r="G14" s="280" t="e">
        <f>F14*Tariefsopbouw!$M$37+F14</f>
        <v>#DIV/0!</v>
      </c>
      <c r="H14" s="280" t="e">
        <f>G14*Tariefsopbouw!$O$37+InvulExtraW[[#This Row],[2025]]</f>
        <v>#DIV/0!</v>
      </c>
      <c r="I14" s="280" t="e">
        <f>H14*Tariefsopbouw!$Q$37+InvulExtraW[[#This Row],[2026]]</f>
        <v>#DIV/0!</v>
      </c>
    </row>
    <row r="15" spans="1:9" ht="13.5" customHeight="1">
      <c r="A15" s="257">
        <v>7</v>
      </c>
      <c r="B15" s="188" t="s">
        <v>1398</v>
      </c>
      <c r="C15" s="54">
        <v>0</v>
      </c>
      <c r="D15" s="258" t="s">
        <v>183</v>
      </c>
      <c r="E15" s="280" t="e">
        <f>(InvulExtraW[[#This Row],[Prijs]]*Tariefsopbouw!$I$37)+InvulExtraW[[#This Row],[Prijs]]</f>
        <v>#DIV/0!</v>
      </c>
      <c r="F15" s="280" t="e">
        <f>E15*Tariefsopbouw!$K$37+E15</f>
        <v>#DIV/0!</v>
      </c>
      <c r="G15" s="280" t="e">
        <f>F15*Tariefsopbouw!$M$37+F15</f>
        <v>#DIV/0!</v>
      </c>
      <c r="H15" s="280" t="e">
        <f>G15*Tariefsopbouw!$O$37+InvulExtraW[[#This Row],[2025]]</f>
        <v>#DIV/0!</v>
      </c>
      <c r="I15" s="280" t="e">
        <f>H15*Tariefsopbouw!$Q$37+InvulExtraW[[#This Row],[2026]]</f>
        <v>#DIV/0!</v>
      </c>
    </row>
    <row r="16" spans="1:9" ht="13.5" customHeight="1">
      <c r="A16" s="257">
        <v>8</v>
      </c>
      <c r="B16" s="258" t="s">
        <v>1230</v>
      </c>
      <c r="C16" s="54">
        <v>0</v>
      </c>
      <c r="D16" s="258" t="s">
        <v>43</v>
      </c>
      <c r="E16" s="280" t="e">
        <f>(InvulExtraW[[#This Row],[Prijs]]*Tariefsopbouw!$I$37)+InvulExtraW[[#This Row],[Prijs]]</f>
        <v>#DIV/0!</v>
      </c>
      <c r="F16" s="280" t="e">
        <f>E16*Tariefsopbouw!$K$37+E16</f>
        <v>#DIV/0!</v>
      </c>
      <c r="G16" s="280" t="e">
        <f>F16*Tariefsopbouw!$M$37+F16</f>
        <v>#DIV/0!</v>
      </c>
      <c r="H16" s="280" t="e">
        <f>G16*Tariefsopbouw!$O$37+InvulExtraW[[#This Row],[2025]]</f>
        <v>#DIV/0!</v>
      </c>
      <c r="I16" s="280" t="e">
        <f>H16*Tariefsopbouw!$Q$37+InvulExtraW[[#This Row],[2026]]</f>
        <v>#DIV/0!</v>
      </c>
    </row>
    <row r="17" spans="1:10" ht="13.5" customHeight="1">
      <c r="A17" s="257">
        <v>9</v>
      </c>
      <c r="B17" s="294" t="s">
        <v>1229</v>
      </c>
      <c r="C17" s="54">
        <v>0</v>
      </c>
      <c r="D17" s="258" t="s">
        <v>43</v>
      </c>
      <c r="E17" s="280" t="e">
        <f>(InvulExtraW[[#This Row],[Prijs]]*Tariefsopbouw!$I$37)+InvulExtraW[[#This Row],[Prijs]]</f>
        <v>#DIV/0!</v>
      </c>
      <c r="F17" s="280" t="e">
        <f>E17*Tariefsopbouw!$K$37+E17</f>
        <v>#DIV/0!</v>
      </c>
      <c r="G17" s="280" t="e">
        <f>F17*Tariefsopbouw!$M$37+F17</f>
        <v>#DIV/0!</v>
      </c>
      <c r="H17" s="280" t="e">
        <f>G17*Tariefsopbouw!$O$37+InvulExtraW[[#This Row],[2025]]</f>
        <v>#DIV/0!</v>
      </c>
      <c r="I17" s="280" t="e">
        <f>H17*Tariefsopbouw!$Q$37+InvulExtraW[[#This Row],[2026]]</f>
        <v>#DIV/0!</v>
      </c>
    </row>
    <row r="18" spans="1:10" ht="13.5" customHeight="1">
      <c r="A18" s="257">
        <v>10</v>
      </c>
      <c r="B18" s="232" t="s">
        <v>1399</v>
      </c>
      <c r="C18" s="253">
        <f>Tariefsopbouw!$E$35</f>
        <v>0</v>
      </c>
      <c r="D18" s="258" t="s">
        <v>183</v>
      </c>
      <c r="E18" s="280" t="e">
        <f>(InvulExtraW[[#This Row],[Prijs]]*Tariefsopbouw!$I$37)+InvulExtraW[[#This Row],[Prijs]]</f>
        <v>#DIV/0!</v>
      </c>
      <c r="F18" s="280" t="e">
        <f>E18*Tariefsopbouw!$K$37+E18</f>
        <v>#DIV/0!</v>
      </c>
      <c r="G18" s="280" t="e">
        <f>F18*Tariefsopbouw!$M$37+F18</f>
        <v>#DIV/0!</v>
      </c>
      <c r="H18" s="280" t="e">
        <f>G18*Tariefsopbouw!$O$37+InvulExtraW[[#This Row],[2025]]</f>
        <v>#DIV/0!</v>
      </c>
      <c r="I18" s="280" t="e">
        <f>H18*Tariefsopbouw!$Q$37+InvulExtraW[[#This Row],[2026]]</f>
        <v>#DIV/0!</v>
      </c>
    </row>
    <row r="19" spans="1:10" ht="22.5">
      <c r="A19" s="257">
        <v>11</v>
      </c>
      <c r="B19" s="241" t="s">
        <v>1387</v>
      </c>
      <c r="C19" s="253">
        <f>Tariefsopbouw!$E$35</f>
        <v>0</v>
      </c>
      <c r="D19" s="258" t="s">
        <v>183</v>
      </c>
      <c r="E19" s="280" t="e">
        <f>(InvulExtraW[[#This Row],[Prijs]]*Tariefsopbouw!$I$37)+InvulExtraW[[#This Row],[Prijs]]</f>
        <v>#DIV/0!</v>
      </c>
      <c r="F19" s="280" t="e">
        <f>E19*Tariefsopbouw!$K$37+E19</f>
        <v>#DIV/0!</v>
      </c>
      <c r="G19" s="280" t="e">
        <f>F19*Tariefsopbouw!$M$37+F19</f>
        <v>#DIV/0!</v>
      </c>
      <c r="H19" s="280" t="e">
        <f>G19*Tariefsopbouw!$O$37+InvulExtraW[[#This Row],[2025]]</f>
        <v>#DIV/0!</v>
      </c>
      <c r="I19" s="280" t="e">
        <f>H19*Tariefsopbouw!$Q$37+InvulExtraW[[#This Row],[2026]]</f>
        <v>#DIV/0!</v>
      </c>
    </row>
    <row r="20" spans="1:10" ht="13.5" customHeight="1">
      <c r="A20" s="257">
        <v>12</v>
      </c>
      <c r="B20" s="279" t="s">
        <v>1405</v>
      </c>
      <c r="C20" s="54">
        <v>0</v>
      </c>
      <c r="D20" s="258" t="s">
        <v>43</v>
      </c>
      <c r="E20" s="280" t="e">
        <f>(InvulExtraW[[#This Row],[Prijs]]*Tariefsopbouw!$I$37)+InvulExtraW[[#This Row],[Prijs]]</f>
        <v>#DIV/0!</v>
      </c>
      <c r="F20" s="280" t="e">
        <f>E20*Tariefsopbouw!$K$37+E20</f>
        <v>#DIV/0!</v>
      </c>
      <c r="G20" s="280" t="e">
        <f>F20*Tariefsopbouw!$M$37+F20</f>
        <v>#DIV/0!</v>
      </c>
      <c r="H20" s="280" t="e">
        <f>G20*Tariefsopbouw!$O$37+InvulExtraW[[#This Row],[2025]]</f>
        <v>#DIV/0!</v>
      </c>
      <c r="I20" s="280" t="e">
        <f>H20*Tariefsopbouw!$Q$37+InvulExtraW[[#This Row],[2026]]</f>
        <v>#DIV/0!</v>
      </c>
    </row>
    <row r="21" spans="1:10" ht="13.5" customHeight="1">
      <c r="A21" s="257">
        <v>13</v>
      </c>
      <c r="B21" s="279" t="s">
        <v>1394</v>
      </c>
      <c r="C21" s="54">
        <v>0</v>
      </c>
      <c r="D21" s="258" t="s">
        <v>43</v>
      </c>
      <c r="E21" s="280" t="e">
        <f>(InvulExtraW[[#This Row],[Prijs]]*Tariefsopbouw!$I$37)+InvulExtraW[[#This Row],[Prijs]]</f>
        <v>#DIV/0!</v>
      </c>
      <c r="F21" s="280" t="e">
        <f>E21*Tariefsopbouw!$K$37+E21</f>
        <v>#DIV/0!</v>
      </c>
      <c r="G21" s="280" t="e">
        <f>F21*Tariefsopbouw!$M$37+F21</f>
        <v>#DIV/0!</v>
      </c>
      <c r="H21" s="280" t="e">
        <f>G21*Tariefsopbouw!$O$37+InvulExtraW[[#This Row],[2025]]</f>
        <v>#DIV/0!</v>
      </c>
      <c r="I21" s="280" t="e">
        <f>H21*Tariefsopbouw!$Q$37+InvulExtraW[[#This Row],[2026]]</f>
        <v>#DIV/0!</v>
      </c>
    </row>
    <row r="22" spans="1:10" ht="13.5" customHeight="1">
      <c r="A22" s="257">
        <v>14</v>
      </c>
      <c r="B22" s="279" t="s">
        <v>1270</v>
      </c>
      <c r="C22" s="54">
        <v>0</v>
      </c>
      <c r="D22" s="258" t="s">
        <v>43</v>
      </c>
      <c r="E22" s="280" t="e">
        <f>(InvulExtraW[[#This Row],[Prijs]]*Tariefsopbouw!$I$37)+InvulExtraW[[#This Row],[Prijs]]</f>
        <v>#DIV/0!</v>
      </c>
      <c r="F22" s="280" t="e">
        <f>E22*Tariefsopbouw!$K$37+E22</f>
        <v>#DIV/0!</v>
      </c>
      <c r="G22" s="280" t="e">
        <f>F22*Tariefsopbouw!$M$37+F22</f>
        <v>#DIV/0!</v>
      </c>
      <c r="H22" s="280" t="e">
        <f>G22*Tariefsopbouw!$O$37+InvulExtraW[[#This Row],[2025]]</f>
        <v>#DIV/0!</v>
      </c>
      <c r="I22" s="280" t="e">
        <f>H22*Tariefsopbouw!$Q$37+InvulExtraW[[#This Row],[2026]]</f>
        <v>#DIV/0!</v>
      </c>
    </row>
    <row r="23" spans="1:10" ht="13.5" customHeight="1">
      <c r="A23" s="257">
        <v>15</v>
      </c>
      <c r="B23" s="279" t="s">
        <v>1383</v>
      </c>
      <c r="C23" s="54">
        <v>0</v>
      </c>
      <c r="D23" s="258" t="s">
        <v>1384</v>
      </c>
      <c r="E23" s="280" t="e">
        <f>(InvulExtraW[[#This Row],[Prijs]]*Tariefsopbouw!$I$37)+InvulExtraW[[#This Row],[Prijs]]</f>
        <v>#DIV/0!</v>
      </c>
      <c r="F23" s="280" t="e">
        <f>E23*Tariefsopbouw!$K$37+E23</f>
        <v>#DIV/0!</v>
      </c>
      <c r="G23" s="280" t="e">
        <f>F23*Tariefsopbouw!$M$37+F23</f>
        <v>#DIV/0!</v>
      </c>
      <c r="H23" s="280" t="e">
        <f>G23*Tariefsopbouw!$O$37+InvulExtraW[[#This Row],[2025]]</f>
        <v>#DIV/0!</v>
      </c>
      <c r="I23" s="280" t="e">
        <f>H23*Tariefsopbouw!$Q$37+InvulExtraW[[#This Row],[2026]]</f>
        <v>#DIV/0!</v>
      </c>
    </row>
    <row r="24" spans="1:10" ht="13.5" customHeight="1">
      <c r="A24" s="257">
        <v>16</v>
      </c>
      <c r="B24" s="279" t="s">
        <v>1403</v>
      </c>
      <c r="C24" s="54">
        <v>0</v>
      </c>
      <c r="D24" s="258" t="s">
        <v>1402</v>
      </c>
      <c r="E24" s="280" t="e">
        <f>(InvulExtraW[[#This Row],[Prijs]]*Tariefsopbouw!$I$37)+InvulExtraW[[#This Row],[Prijs]]</f>
        <v>#DIV/0!</v>
      </c>
      <c r="F24" s="280" t="e">
        <f>E24*Tariefsopbouw!$K$37+E24</f>
        <v>#DIV/0!</v>
      </c>
      <c r="G24" s="280" t="e">
        <f>F24*Tariefsopbouw!$M$37+F24</f>
        <v>#DIV/0!</v>
      </c>
      <c r="H24" s="280" t="e">
        <f>G24*Tariefsopbouw!$O$37+InvulExtraW[[#This Row],[2025]]</f>
        <v>#DIV/0!</v>
      </c>
      <c r="I24" s="280" t="e">
        <f>H24*Tariefsopbouw!$Q$37+InvulExtraW[[#This Row],[2026]]</f>
        <v>#DIV/0!</v>
      </c>
    </row>
    <row r="25" spans="1:10" ht="13.5" customHeight="1">
      <c r="A25" s="257">
        <v>17</v>
      </c>
      <c r="B25" s="279" t="s">
        <v>1404</v>
      </c>
      <c r="C25" s="54">
        <v>0</v>
      </c>
      <c r="D25" s="258" t="s">
        <v>1402</v>
      </c>
      <c r="E25" s="280" t="e">
        <f>(InvulExtraW[[#This Row],[Prijs]]*Tariefsopbouw!$I$37)+InvulExtraW[[#This Row],[Prijs]]</f>
        <v>#DIV/0!</v>
      </c>
      <c r="F25" s="280" t="e">
        <f>E25*Tariefsopbouw!$K$37+E25</f>
        <v>#DIV/0!</v>
      </c>
      <c r="G25" s="280" t="e">
        <f>F25*Tariefsopbouw!$M$37+F25</f>
        <v>#DIV/0!</v>
      </c>
      <c r="H25" s="280" t="e">
        <f>G25*Tariefsopbouw!$O$37+InvulExtraW[[#This Row],[2025]]</f>
        <v>#DIV/0!</v>
      </c>
      <c r="I25" s="280" t="e">
        <f>H25*Tariefsopbouw!$Q$37+InvulExtraW[[#This Row],[2026]]</f>
        <v>#DIV/0!</v>
      </c>
    </row>
    <row r="26" spans="1:10" ht="15" customHeight="1">
      <c r="B26" s="21"/>
      <c r="E26" s="40"/>
      <c r="F26" s="155"/>
      <c r="G26" s="40"/>
      <c r="H26" s="40"/>
    </row>
    <row r="27" spans="1:10" s="33" customFormat="1" ht="26.25" customHeight="1">
      <c r="A27" s="49" t="s">
        <v>208</v>
      </c>
      <c r="B27" s="50" t="s">
        <v>142</v>
      </c>
      <c r="C27" s="49" t="s">
        <v>209</v>
      </c>
      <c r="D27" s="60" t="s">
        <v>1388</v>
      </c>
      <c r="E27" s="60" t="s">
        <v>1401</v>
      </c>
      <c r="F27" s="60" t="s">
        <v>1231</v>
      </c>
      <c r="G27" s="156" t="s">
        <v>161</v>
      </c>
      <c r="H27" s="60" t="s">
        <v>165</v>
      </c>
      <c r="I27" s="61" t="s">
        <v>144</v>
      </c>
      <c r="J27" s="60" t="s">
        <v>390</v>
      </c>
    </row>
    <row r="28" spans="1:10" ht="24" customHeight="1">
      <c r="A28" s="257">
        <v>1</v>
      </c>
      <c r="B28" s="258" t="str">
        <f>VLOOKUP(OverzichtExtraW[[#This Row],[Code Locatie]],Locaties[],2,0)</f>
        <v>Praktijkonderwijs</v>
      </c>
      <c r="C28" s="257">
        <v>1</v>
      </c>
      <c r="D28" s="295" t="str">
        <f>IF(OverzichtExtraW[[#This Row],[Code Taak]]&gt;0,VLOOKUP(OverzichtExtraW[[#This Row],[Code Taak]],$A$8:$B$25,2,FALSE),"")</f>
        <v>Rnr 4.1/4.2/4.7/4.11 en 29 (215m2) randen/richels boven reikhoogte stofvrij / inventaris reinigen ("grote beurt")</v>
      </c>
      <c r="E28" s="276"/>
      <c r="F28" s="228"/>
      <c r="G28" s="277"/>
      <c r="H28" s="278">
        <v>12</v>
      </c>
      <c r="I28" s="261">
        <f>VLOOKUP(OverzichtExtraW[[#This Row],[Code Taak]],InvulExtraW[[Code Taak]:[Prijs]],3,FALSE)*OverzichtExtraW[[#This Row],[Uren/aantal per keer]]*OverzichtExtraW[[#This Row],[Frequentie (uitv./jaar)]]</f>
        <v>0</v>
      </c>
      <c r="J28" s="257"/>
    </row>
    <row r="29" spans="1:10" ht="15" customHeight="1">
      <c r="A29" s="257">
        <v>2</v>
      </c>
      <c r="B29" s="258" t="str">
        <f>VLOOKUP(OverzichtExtraW[[#This Row],[Code Locatie]],Locaties[],2,0)</f>
        <v>Losser</v>
      </c>
      <c r="C29" s="257">
        <v>4</v>
      </c>
      <c r="D29" s="276" t="str">
        <f>IF(OverzichtExtraW[[#This Row],[Code Taak]]&gt;0,VLOOKUP(OverzichtExtraW[[#This Row],[Code Taak]],$A$8:$B$25,2,FALSE),"")</f>
        <v>Conciërge taken (tussen 6.00 en 21.30 uur)</v>
      </c>
      <c r="E29" s="276"/>
      <c r="F29" s="67">
        <v>1</v>
      </c>
      <c r="G29" s="277"/>
      <c r="H29" s="278">
        <v>200</v>
      </c>
      <c r="I29" s="261">
        <f>VLOOKUP(OverzichtExtraW[[#This Row],[Code Taak]],InvulExtraW[[Code Taak]:[Prijs]],3,FALSE)*OverzichtExtraW[[#This Row],[Uren/aantal per keer]]*OverzichtExtraW[[#This Row],[Frequentie (uitv./jaar)]]</f>
        <v>0</v>
      </c>
      <c r="J29" s="259"/>
    </row>
    <row r="30" spans="1:10" ht="33.75">
      <c r="A30" s="257">
        <v>4</v>
      </c>
      <c r="B30" s="258" t="str">
        <f>VLOOKUP(OverzichtExtraW[[#This Row],[Code Locatie]],Locaties[],2,0)</f>
        <v xml:space="preserve">Lyceumstraat </v>
      </c>
      <c r="C30" s="257">
        <v>3</v>
      </c>
      <c r="D30" s="276" t="str">
        <f>IF(OverzichtExtraW[[#This Row],[Code Taak]]&gt;0,VLOOKUP(OverzichtExtraW[[#This Row],[Code Taak]],$A$8:$B$25,2,FALSE),"")</f>
        <v>Roosters luchtbehandeling</v>
      </c>
      <c r="E30" s="276" t="s">
        <v>1226</v>
      </c>
      <c r="F30" s="254">
        <v>1</v>
      </c>
      <c r="G30" s="277"/>
      <c r="H30" s="278">
        <v>200</v>
      </c>
      <c r="I30" s="261">
        <f>VLOOKUP(OverzichtExtraW[[#This Row],[Code Taak]],InvulExtraW[[Code Taak]:[Prijs]],3,FALSE)*OverzichtExtraW[[#This Row],[Uren/aantal per keer]]*OverzichtExtraW[[#This Row],[Frequentie (uitv./jaar)]]</f>
        <v>0</v>
      </c>
      <c r="J30" s="257"/>
    </row>
    <row r="31" spans="1:10" ht="15" customHeight="1">
      <c r="A31" s="257">
        <v>4</v>
      </c>
      <c r="B31" s="258" t="str">
        <f>VLOOKUP(OverzichtExtraW[[#This Row],[Code Locatie]],Locaties[],2,0)</f>
        <v xml:space="preserve">Lyceumstraat </v>
      </c>
      <c r="C31" s="257">
        <v>4</v>
      </c>
      <c r="D31" s="276" t="str">
        <f>IF(OverzichtExtraW[[#This Row],[Code Taak]]&gt;0,VLOOKUP(OverzichtExtraW[[#This Row],[Code Taak]],$A$8:$B$25,2,FALSE),"")</f>
        <v>Conciërge taken (tussen 6.00 en 21.30 uur)</v>
      </c>
      <c r="E31" s="276"/>
      <c r="F31" s="260">
        <v>20</v>
      </c>
      <c r="G31" s="277"/>
      <c r="H31" s="278">
        <v>40</v>
      </c>
      <c r="I31" s="261">
        <f>VLOOKUP(OverzichtExtraW[[#This Row],[Code Taak]],InvulExtraW[[Code Taak]:[Prijs]],3,FALSE)*OverzichtExtraW[[#This Row],[Uren/aantal per keer]]*OverzichtExtraW[[#This Row],[Frequentie (uitv./jaar)]]</f>
        <v>0</v>
      </c>
      <c r="J31" s="259"/>
    </row>
    <row r="32" spans="1:10" ht="15" customHeight="1">
      <c r="A32" s="257">
        <v>4</v>
      </c>
      <c r="B32" s="258" t="str">
        <f>VLOOKUP(OverzichtExtraW[[#This Row],[Code Locatie]],Locaties[],2,0)</f>
        <v xml:space="preserve">Lyceumstraat </v>
      </c>
      <c r="C32" s="257">
        <v>6</v>
      </c>
      <c r="D32" s="276" t="str">
        <f>IF(OverzichtExtraW[[#This Row],[Code Taak]]&gt;0,VLOOKUP(OverzichtExtraW[[#This Row],[Code Taak]],$A$8:$B$25,2,FALSE),"")</f>
        <v>Koffieautomaat schoonmaken en aanvullen/service</v>
      </c>
      <c r="E32" s="276"/>
      <c r="F32" s="260">
        <v>2</v>
      </c>
      <c r="G32" s="277"/>
      <c r="H32" s="278">
        <v>200</v>
      </c>
      <c r="I32" s="261">
        <f>VLOOKUP(OverzichtExtraW[[#This Row],[Code Taak]],InvulExtraW[[Code Taak]:[Prijs]],3,FALSE)*OverzichtExtraW[[#This Row],[Uren/aantal per keer]]*OverzichtExtraW[[#This Row],[Frequentie (uitv./jaar)]]</f>
        <v>0</v>
      </c>
      <c r="J32" s="257"/>
    </row>
    <row r="33" spans="1:10" ht="33.75">
      <c r="A33" s="257">
        <v>5</v>
      </c>
      <c r="B33" s="258" t="str">
        <f>VLOOKUP(OverzichtExtraW[[#This Row],[Code Locatie]],Locaties[],2,0)</f>
        <v>Potskamp</v>
      </c>
      <c r="C33" s="257">
        <v>2</v>
      </c>
      <c r="D33" s="295" t="str">
        <f>IF(OverzichtExtraW[[#This Row],[Code Taak]]&gt;0,VLOOKUP(OverzichtExtraW[[#This Row],[Code Taak]],$A$8:$B$25,2,FALSE),"")</f>
        <v>Afzuigkappen buiten- en binnenzijde ontvetten en reinigen met RVS reiniger ; roosters ontvetten</v>
      </c>
      <c r="E33" s="295" t="s">
        <v>1227</v>
      </c>
      <c r="F33" s="228"/>
      <c r="G33" s="277"/>
      <c r="H33" s="278">
        <v>1</v>
      </c>
      <c r="I33" s="261">
        <f>VLOOKUP(OverzichtExtraW[[#This Row],[Code Taak]],InvulExtraW[[Code Taak]:[Prijs]],3,FALSE)*OverzichtExtraW[[#This Row],[Uren/aantal per keer]]*OverzichtExtraW[[#This Row],[Frequentie (uitv./jaar)]]</f>
        <v>0</v>
      </c>
      <c r="J33" s="259"/>
    </row>
    <row r="34" spans="1:10" ht="15" customHeight="1">
      <c r="A34" s="257">
        <v>5</v>
      </c>
      <c r="B34" s="258" t="str">
        <f>VLOOKUP(OverzichtExtraW[[#This Row],[Code Locatie]],Locaties[],2,0)</f>
        <v>Potskamp</v>
      </c>
      <c r="C34" s="257">
        <v>4</v>
      </c>
      <c r="D34" s="276" t="str">
        <f>IF(OverzichtExtraW[[#This Row],[Code Taak]]&gt;0,VLOOKUP(OverzichtExtraW[[#This Row],[Code Taak]],$A$8:$B$25,2,FALSE),"")</f>
        <v>Conciërge taken (tussen 6.00 en 21.30 uur)</v>
      </c>
      <c r="E34" s="276"/>
      <c r="F34" s="260">
        <v>1</v>
      </c>
      <c r="G34" s="277"/>
      <c r="H34" s="278">
        <v>200</v>
      </c>
      <c r="I34" s="261">
        <f>VLOOKUP(OverzichtExtraW[[#This Row],[Code Taak]],InvulExtraW[[Code Taak]:[Prijs]],3,FALSE)*OverzichtExtraW[[#This Row],[Uren/aantal per keer]]*OverzichtExtraW[[#This Row],[Frequentie (uitv./jaar)]]</f>
        <v>0</v>
      </c>
      <c r="J34" s="259"/>
    </row>
    <row r="35" spans="1:10" ht="15" customHeight="1">
      <c r="A35" s="257">
        <v>5</v>
      </c>
      <c r="B35" s="258" t="str">
        <f>VLOOKUP(OverzichtExtraW[[#This Row],[Code Locatie]],Locaties[],2,0)</f>
        <v>Potskamp</v>
      </c>
      <c r="C35" s="257">
        <v>6</v>
      </c>
      <c r="D35" s="276" t="str">
        <f>IF(OverzichtExtraW[[#This Row],[Code Taak]]&gt;0,VLOOKUP(OverzichtExtraW[[#This Row],[Code Taak]],$A$8:$B$25,2,FALSE),"")</f>
        <v>Koffieautomaat schoonmaken en aanvullen/service</v>
      </c>
      <c r="E35" s="276"/>
      <c r="F35" s="260">
        <v>3</v>
      </c>
      <c r="G35" s="277"/>
      <c r="H35" s="278">
        <v>200</v>
      </c>
      <c r="I35" s="261">
        <f>VLOOKUP(OverzichtExtraW[[#This Row],[Code Taak]],InvulExtraW[[Code Taak]:[Prijs]],3,FALSE)*OverzichtExtraW[[#This Row],[Uren/aantal per keer]]*OverzichtExtraW[[#This Row],[Frequentie (uitv./jaar)]]</f>
        <v>0</v>
      </c>
      <c r="J35" s="257"/>
    </row>
    <row r="36" spans="1:10" ht="22.5">
      <c r="A36" s="257">
        <v>5</v>
      </c>
      <c r="B36" s="258" t="str">
        <f>VLOOKUP(OverzichtExtraW[[#This Row],[Code Locatie]],Locaties[],2,0)</f>
        <v>Potskamp</v>
      </c>
      <c r="C36" s="257">
        <v>7</v>
      </c>
      <c r="D36" s="295" t="str">
        <f>IF(OverzichtExtraW[[#This Row],[Code Taak]]&gt;0,VLOOKUP(OverzichtExtraW[[#This Row],[Code Taak]],$A$8:$B$25,2,FALSE),"")</f>
        <v>Diverse werkzaamheden tbv avondopenstelling 40x p jr (18.00 - 22.30 uur)</v>
      </c>
      <c r="E36" s="276"/>
      <c r="F36" s="260">
        <v>2.5</v>
      </c>
      <c r="G36" s="277"/>
      <c r="H36" s="278">
        <v>40</v>
      </c>
      <c r="I36" s="261">
        <f>VLOOKUP(OverzichtExtraW[[#This Row],[Code Taak]],InvulExtraW[[Code Taak]:[Prijs]],3,FALSE)*OverzichtExtraW[[#This Row],[Uren/aantal per keer]]*OverzichtExtraW[[#This Row],[Frequentie (uitv./jaar)]]</f>
        <v>0</v>
      </c>
      <c r="J36" s="259"/>
    </row>
    <row r="37" spans="1:10" ht="15" customHeight="1">
      <c r="A37" s="257">
        <v>5</v>
      </c>
      <c r="B37" s="258" t="str">
        <f>VLOOKUP(OverzichtExtraW[[#This Row],[Code Locatie]],Locaties[],2,0)</f>
        <v>Potskamp</v>
      </c>
      <c r="C37" s="257">
        <v>8</v>
      </c>
      <c r="D37" s="276" t="str">
        <f>IF(OverzichtExtraW[[#This Row],[Code Taak]]&gt;0,VLOOKUP(OverzichtExtraW[[#This Row],[Code Taak]],$A$8:$B$25,2,FALSE),"")</f>
        <v xml:space="preserve">Wassen horecadoeken (40 st.) 5x p/wk: </v>
      </c>
      <c r="E37" s="276"/>
      <c r="F37" s="260">
        <v>40</v>
      </c>
      <c r="G37" s="277"/>
      <c r="H37" s="278">
        <v>200</v>
      </c>
      <c r="I37" s="261">
        <f>VLOOKUP(OverzichtExtraW[[#This Row],[Code Taak]],InvulExtraW[[Code Taak]:[Prijs]],3,FALSE)*OverzichtExtraW[[#This Row],[Uren/aantal per keer]]*OverzichtExtraW[[#This Row],[Frequentie (uitv./jaar)]]</f>
        <v>0</v>
      </c>
      <c r="J37" s="257"/>
    </row>
    <row r="38" spans="1:10" ht="15" customHeight="1">
      <c r="A38" s="257">
        <v>5</v>
      </c>
      <c r="B38" s="258" t="str">
        <f>VLOOKUP(OverzichtExtraW[[#This Row],[Code Locatie]],Locaties[],2,0)</f>
        <v>Potskamp</v>
      </c>
      <c r="C38" s="257">
        <v>9</v>
      </c>
      <c r="D38" s="276" t="str">
        <f>IF(OverzichtExtraW[[#This Row],[Code Taak]]&gt;0,VLOOKUP(OverzichtExtraW[[#This Row],[Code Taak]],$A$8:$B$25,2,FALSE),"")</f>
        <v>Wassen 40 judopakken en 80 labjassen 2x p/jr</v>
      </c>
      <c r="E38" s="276"/>
      <c r="F38" s="260">
        <v>120</v>
      </c>
      <c r="G38" s="277"/>
      <c r="H38" s="278">
        <v>2</v>
      </c>
      <c r="I38" s="261">
        <f>VLOOKUP(OverzichtExtraW[[#This Row],[Code Taak]],InvulExtraW[[Code Taak]:[Prijs]],3,FALSE)*OverzichtExtraW[[#This Row],[Uren/aantal per keer]]*OverzichtExtraW[[#This Row],[Frequentie (uitv./jaar)]]</f>
        <v>0</v>
      </c>
      <c r="J38" s="259"/>
    </row>
    <row r="39" spans="1:10" ht="22.5">
      <c r="A39" s="257">
        <v>5</v>
      </c>
      <c r="B39" s="258" t="str">
        <f>VLOOKUP(OverzichtExtraW[[#This Row],[Code Locatie]],Locaties[],2,0)</f>
        <v>Potskamp</v>
      </c>
      <c r="C39" s="257">
        <v>11</v>
      </c>
      <c r="D39" s="276" t="str">
        <f>IF(OverzichtExtraW[[#This Row],[Code Taak]]&gt;0,VLOOKUP(OverzichtExtraW[[#This Row],[Code Taak]],$A$8:$B$25,2,FALSE),"")</f>
        <v>Perkgoed planten on onderhouden; 4x per jaar seizoens perkgoed. Buitenperk naast entree 20 m²</v>
      </c>
      <c r="E39" s="276"/>
      <c r="F39" s="260">
        <v>1</v>
      </c>
      <c r="G39" s="277"/>
      <c r="H39" s="278">
        <v>4</v>
      </c>
      <c r="I39" s="261">
        <f>VLOOKUP(OverzichtExtraW[[#This Row],[Code Taak]],InvulExtraW[[Code Taak]:[Prijs]],3,FALSE)*OverzichtExtraW[[#This Row],[Uren/aantal per keer]]*OverzichtExtraW[[#This Row],[Frequentie (uitv./jaar)]]</f>
        <v>0</v>
      </c>
      <c r="J39" s="259"/>
    </row>
    <row r="40" spans="1:10" ht="13.5" customHeight="1">
      <c r="A40" s="257">
        <v>5</v>
      </c>
      <c r="B40" s="258" t="str">
        <f>VLOOKUP(OverzichtExtraW[[#This Row],[Code Locatie]],Locaties[],2,0)</f>
        <v>Potskamp</v>
      </c>
      <c r="C40" s="257">
        <v>15</v>
      </c>
      <c r="D40" s="276" t="str">
        <f>IF(OverzichtExtraW[[#This Row],[Code Taak]]&gt;0,VLOOKUP(OverzichtExtraW[[#This Row],[Code Taak]],$A$8:$B$25,2,FALSE),"")</f>
        <v>Vitrinekasten LW01 en Handel schoonmaken binnenzijde</v>
      </c>
      <c r="E40" s="276"/>
      <c r="F40" s="254"/>
      <c r="G40" s="260">
        <v>376</v>
      </c>
      <c r="H40" s="278">
        <v>2</v>
      </c>
      <c r="I40" s="261">
        <f>VLOOKUP(OverzichtExtraW[[#This Row],[Code Taak]],InvulExtraW[[Code Taak]:[Prijs]],3,FALSE)*OverzichtExtraW[[#This Row],[Oppervlakte]]*OverzichtExtraW[[#This Row],[Frequentie (uitv./jaar)]]</f>
        <v>0</v>
      </c>
      <c r="J40" s="259"/>
    </row>
    <row r="41" spans="1:10" ht="22.5">
      <c r="A41" s="257">
        <v>6</v>
      </c>
      <c r="B41" s="258" t="str">
        <f>VLOOKUP(OverzichtExtraW[[#This Row],[Code Locatie]],Locaties[],2,0)</f>
        <v>De Thij</v>
      </c>
      <c r="C41" s="257">
        <v>2</v>
      </c>
      <c r="D41" s="276" t="str">
        <f>IF(OverzichtExtraW[[#This Row],[Code Taak]]&gt;0,VLOOKUP(OverzichtExtraW[[#This Row],[Code Taak]],$A$8:$B$25,2,FALSE),"")</f>
        <v>Afzuigkappen buiten- en binnenzijde ontvetten en reinigen met RVS reiniger ; roosters ontvetten</v>
      </c>
      <c r="E41" s="276" t="s">
        <v>1232</v>
      </c>
      <c r="F41" s="228"/>
      <c r="G41" s="277"/>
      <c r="H41" s="278">
        <v>5</v>
      </c>
      <c r="I41" s="261">
        <f>VLOOKUP(OverzichtExtraW[[#This Row],[Code Taak]],InvulExtraW[[Code Taak]:[Prijs]],3,FALSE)*OverzichtExtraW[[#This Row],[Uren/aantal per keer]]*OverzichtExtraW[[#This Row],[Frequentie (uitv./jaar)]]</f>
        <v>0</v>
      </c>
      <c r="J41" s="257"/>
    </row>
    <row r="42" spans="1:10" ht="15" customHeight="1">
      <c r="A42" s="257">
        <v>6</v>
      </c>
      <c r="B42" s="258" t="str">
        <f>VLOOKUP(OverzichtExtraW[[#This Row],[Code Locatie]],Locaties[],2,0)</f>
        <v>De Thij</v>
      </c>
      <c r="C42" s="257">
        <v>4</v>
      </c>
      <c r="D42" s="276" t="str">
        <f>IF(OverzichtExtraW[[#This Row],[Code Taak]]&gt;0,VLOOKUP(OverzichtExtraW[[#This Row],[Code Taak]],$A$8:$B$25,2,FALSE),"")</f>
        <v>Conciërge taken (tussen 6.00 en 21.30 uur)</v>
      </c>
      <c r="E42" s="276"/>
      <c r="F42" s="260">
        <v>1</v>
      </c>
      <c r="G42" s="277"/>
      <c r="H42" s="278">
        <v>200</v>
      </c>
      <c r="I42" s="261">
        <f>VLOOKUP(OverzichtExtraW[[#This Row],[Code Taak]],InvulExtraW[[Code Taak]:[Prijs]],3,FALSE)*OverzichtExtraW[[#This Row],[Uren/aantal per keer]]*OverzichtExtraW[[#This Row],[Frequentie (uitv./jaar)]]</f>
        <v>0</v>
      </c>
      <c r="J42" s="259"/>
    </row>
    <row r="43" spans="1:10" ht="15" customHeight="1">
      <c r="A43" s="257">
        <v>6</v>
      </c>
      <c r="B43" s="258" t="str">
        <f>VLOOKUP(OverzichtExtraW[[#This Row],[Code Locatie]],Locaties[],2,0)</f>
        <v>De Thij</v>
      </c>
      <c r="C43" s="257">
        <v>9</v>
      </c>
      <c r="D43" s="276" t="str">
        <f>IF(OverzichtExtraW[[#This Row],[Code Taak]]&gt;0,VLOOKUP(OverzichtExtraW[[#This Row],[Code Taak]],$A$8:$B$25,2,FALSE),"")</f>
        <v>Wassen 40 judopakken en 80 labjassen 2x p/jr</v>
      </c>
      <c r="E43" s="276"/>
      <c r="F43" s="260">
        <v>1</v>
      </c>
      <c r="G43" s="277"/>
      <c r="H43" s="278">
        <v>40</v>
      </c>
      <c r="I43" s="261">
        <f>VLOOKUP(OverzichtExtraW[[#This Row],[Code Taak]],InvulExtraW[[Code Taak]:[Prijs]],3,FALSE)*OverzichtExtraW[[#This Row],[Uren/aantal per keer]]*OverzichtExtraW[[#This Row],[Frequentie (uitv./jaar)]]</f>
        <v>0</v>
      </c>
      <c r="J43" s="257"/>
    </row>
    <row r="44" spans="1:10" ht="15" customHeight="1">
      <c r="A44" s="257">
        <v>7</v>
      </c>
      <c r="B44" s="285" t="str">
        <f>VLOOKUP(OverzichtExtraW[[#This Row],[Code Locatie]],Locaties[],2,0)</f>
        <v>Bestuursbureau</v>
      </c>
      <c r="C44" s="286">
        <v>14</v>
      </c>
      <c r="D44" s="287" t="str">
        <f>IF(OverzichtExtraW[[#This Row],[Code Taak]]&gt;0,VLOOKUP(OverzichtExtraW[[#This Row],[Code Taak]],$A$8:$B$25,2,FALSE),"")</f>
        <v>Reinigen vlaggenmasten</v>
      </c>
      <c r="E44" s="276"/>
      <c r="F44" s="290">
        <v>1</v>
      </c>
      <c r="G44" s="288"/>
      <c r="H44" s="289">
        <v>1</v>
      </c>
      <c r="I44" s="261">
        <f>VLOOKUP(OverzichtExtraW[[#This Row],[Code Taak]],InvulExtraW[[Code Taak]:[Prijs]],3,FALSE)*OverzichtExtraW[[#This Row],[Uren/aantal per keer]]*OverzichtExtraW[[#This Row],[Frequentie (uitv./jaar)]]</f>
        <v>0</v>
      </c>
      <c r="J44" s="290"/>
    </row>
    <row r="45" spans="1:10" ht="15" customHeight="1">
      <c r="A45" s="257">
        <v>7</v>
      </c>
      <c r="B45" s="285" t="str">
        <f>VLOOKUP(OverzichtExtraW[[#This Row],[Code Locatie]],Locaties[],2,0)</f>
        <v>Bestuursbureau</v>
      </c>
      <c r="C45" s="286">
        <v>13</v>
      </c>
      <c r="D45" s="287" t="str">
        <f>IF(OverzichtExtraW[[#This Row],[Code Taak]]&gt;0,VLOOKUP(OverzichtExtraW[[#This Row],[Code Taak]],$A$8:$B$25,2,FALSE),"")</f>
        <v>Reinigen bewegwijzeringsborden (buiten)</v>
      </c>
      <c r="E45" s="276"/>
      <c r="F45" s="290">
        <v>1</v>
      </c>
      <c r="G45" s="288"/>
      <c r="H45" s="289">
        <v>2</v>
      </c>
      <c r="I45" s="261">
        <f>VLOOKUP(OverzichtExtraW[[#This Row],[Code Taak]],InvulExtraW[[Code Taak]:[Prijs]],3,FALSE)*OverzichtExtraW[[#This Row],[Uren/aantal per keer]]*OverzichtExtraW[[#This Row],[Frequentie (uitv./jaar)]]</f>
        <v>0</v>
      </c>
      <c r="J45" s="290"/>
    </row>
    <row r="46" spans="1:10" ht="15" customHeight="1">
      <c r="A46" s="257">
        <v>7</v>
      </c>
      <c r="B46" s="285" t="str">
        <f>VLOOKUP(OverzichtExtraW[[#This Row],[Code Locatie]],Locaties[],2,0)</f>
        <v>Bestuursbureau</v>
      </c>
      <c r="C46" s="286">
        <v>12</v>
      </c>
      <c r="D46" s="287" t="str">
        <f>IF(OverzichtExtraW[[#This Row],[Code Taak]]&gt;0,VLOOKUP(OverzichtExtraW[[#This Row],[Code Taak]],$A$8:$B$25,2,FALSE),"")</f>
        <v>Reinigen afzuigkanalen</v>
      </c>
      <c r="E46" s="276"/>
      <c r="F46" s="290">
        <v>1</v>
      </c>
      <c r="G46" s="288"/>
      <c r="H46" s="289">
        <v>1</v>
      </c>
      <c r="I46" s="261">
        <f>VLOOKUP(OverzichtExtraW[[#This Row],[Code Taak]],InvulExtraW[[Code Taak]:[Prijs]],3,FALSE)*OverzichtExtraW[[#This Row],[Uren/aantal per keer]]*OverzichtExtraW[[#This Row],[Frequentie (uitv./jaar)]]</f>
        <v>0</v>
      </c>
      <c r="J46" s="290"/>
    </row>
    <row r="47" spans="1:10" ht="15" customHeight="1">
      <c r="A47" s="257">
        <v>7</v>
      </c>
      <c r="B47" s="285" t="str">
        <f>VLOOKUP(OverzichtExtraW[[#This Row],[Code Locatie]],Locaties[],2,0)</f>
        <v>Bestuursbureau</v>
      </c>
      <c r="C47" s="286">
        <v>16</v>
      </c>
      <c r="D47" s="287" t="str">
        <f>IF(OverzichtExtraW[[#This Row],[Code Taak]]&gt;0,VLOOKUP(OverzichtExtraW[[#This Row],[Code Taak]],$A$8:$B$25,2,FALSE),"")</f>
        <v>Schoonloopmat buiten 120x180</v>
      </c>
      <c r="E47" s="276"/>
      <c r="F47" s="290">
        <v>1</v>
      </c>
      <c r="G47" s="288"/>
      <c r="H47" s="289">
        <v>25</v>
      </c>
      <c r="I47" s="261">
        <f>VLOOKUP(OverzichtExtraW[[#This Row],[Code Taak]],InvulExtraW[[Code Taak]:[Prijs]],3,FALSE)*OverzichtExtraW[[#This Row],[Uren/aantal per keer]]*OverzichtExtraW[[#This Row],[Frequentie (uitv./jaar)]]</f>
        <v>0</v>
      </c>
      <c r="J47" s="290"/>
    </row>
    <row r="48" spans="1:10" ht="15" customHeight="1">
      <c r="A48" s="257">
        <v>7</v>
      </c>
      <c r="B48" s="285" t="str">
        <f>VLOOKUP(OverzichtExtraW[[#This Row],[Code Locatie]],Locaties[],2,0)</f>
        <v>Bestuursbureau</v>
      </c>
      <c r="C48" s="286">
        <v>17</v>
      </c>
      <c r="D48" s="287" t="str">
        <f>IF(OverzichtExtraW[[#This Row],[Code Taak]]&gt;0,VLOOKUP(OverzichtExtraW[[#This Row],[Code Taak]],$A$8:$B$25,2,FALSE),"")</f>
        <v>Schoonloopmat binnen 120x180</v>
      </c>
      <c r="E48" s="276"/>
      <c r="F48" s="290">
        <v>1</v>
      </c>
      <c r="G48" s="288"/>
      <c r="H48" s="289">
        <v>25</v>
      </c>
      <c r="I48" s="261">
        <f>VLOOKUP(OverzichtExtraW[[#This Row],[Code Taak]],InvulExtraW[[Code Taak]:[Prijs]],3,FALSE)*OverzichtExtraW[[#This Row],[Uren/aantal per keer]]*OverzichtExtraW[[#This Row],[Frequentie (uitv./jaar)]]</f>
        <v>0</v>
      </c>
      <c r="J48" s="290"/>
    </row>
    <row r="49" spans="1:10" ht="15" customHeight="1">
      <c r="A49" s="166"/>
      <c r="B49" s="167" t="s">
        <v>33</v>
      </c>
      <c r="C49" s="166"/>
      <c r="D49" s="168"/>
      <c r="E49" s="168"/>
      <c r="F49" s="166"/>
      <c r="G49" s="169"/>
      <c r="H49" s="166"/>
      <c r="I49" s="170">
        <f>SUBTOTAL(109,OverzichtExtraW[Kosten/jaar excl. BTW])</f>
        <v>0</v>
      </c>
      <c r="J49" s="234"/>
    </row>
    <row r="50" spans="1:10" ht="15" customHeight="1">
      <c r="A50" s="37"/>
      <c r="C50" s="35"/>
      <c r="D50" s="35"/>
      <c r="E50" s="35"/>
      <c r="F50" s="155"/>
      <c r="G50" s="41"/>
      <c r="H50" s="36"/>
    </row>
    <row r="51" spans="1:10" ht="15" customHeight="1"/>
    <row r="52" spans="1:10" ht="15" customHeight="1"/>
    <row r="53" spans="1:10" ht="15" customHeight="1"/>
    <row r="54" spans="1:10" ht="15" customHeight="1"/>
    <row r="55" spans="1:10" ht="15" customHeight="1"/>
    <row r="56" spans="1:10" ht="15" customHeight="1"/>
    <row r="57" spans="1:10" ht="15" customHeight="1"/>
    <row r="58" spans="1:10" ht="15" customHeight="1"/>
    <row r="59" spans="1:10" ht="15" customHeight="1"/>
    <row r="60" spans="1:10" ht="15" customHeight="1"/>
    <row r="61" spans="1:10" ht="15" customHeight="1"/>
    <row r="62" spans="1:10" ht="15" customHeight="1"/>
    <row r="63" spans="1:10" ht="15" customHeight="1"/>
    <row r="64" spans="1:10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</sheetData>
  <mergeCells count="3">
    <mergeCell ref="A1:H1"/>
    <mergeCell ref="A2:H2"/>
    <mergeCell ref="E7:I7"/>
  </mergeCells>
  <pageMargins left="0.7" right="0.7" top="0.75" bottom="0.75" header="0.3" footer="0.3"/>
  <pageSetup paperSize="9" scale="51" orientation="landscape" r:id="rId1"/>
  <tableParts count="2"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2" ma:contentTypeDescription="Een nieuw document maken." ma:contentTypeScope="" ma:versionID="192334a1dffbd6b3bcaa0f1579ba8540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93f98d314c795f322e3c6568e2c902ed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CD33D4D-CE06-430B-A89B-74397568C6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101D780-3B97-493C-9478-2802C9533A1F}">
  <ds:schemaRefs>
    <ds:schemaRef ds:uri="http://schemas.microsoft.com/office/2006/documentManagement/types"/>
    <ds:schemaRef ds:uri="http://schemas.microsoft.com/office/infopath/2007/PartnerControls"/>
    <ds:schemaRef ds:uri="5d807127-6dfe-4777-9fc9-8a2ccfc388c3"/>
    <ds:schemaRef ds:uri="http://purl.org/dc/elements/1.1/"/>
    <ds:schemaRef ds:uri="http://schemas.microsoft.com/office/2006/metadata/properties"/>
    <ds:schemaRef ds:uri="46c995e6-7f53-48aa-a5ad-a9d38912b46a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9952470-B124-415D-8014-2581EF5533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11</vt:i4>
      </vt:variant>
      <vt:variant>
        <vt:lpstr>Benoemde bereiken</vt:lpstr>
      </vt:variant>
      <vt:variant>
        <vt:i4>11</vt:i4>
      </vt:variant>
    </vt:vector>
  </HeadingPairs>
  <TitlesOfParts>
    <vt:vector size="22" baseType="lpstr">
      <vt:lpstr>Opleverstaat </vt:lpstr>
      <vt:lpstr>Werkprogramma dieptereiniging</vt:lpstr>
      <vt:lpstr>Tariefsopbouw</vt:lpstr>
      <vt:lpstr>Overnamegegevens</vt:lpstr>
      <vt:lpstr>Prestatiefactoren</vt:lpstr>
      <vt:lpstr>Ruimtestaat</vt:lpstr>
      <vt:lpstr>Glasbewassing</vt:lpstr>
      <vt:lpstr>Vloeronderhoud</vt:lpstr>
      <vt:lpstr>Extra werkzaamheden</vt:lpstr>
      <vt:lpstr>Regie en afroep</vt:lpstr>
      <vt:lpstr>Totalisatie</vt:lpstr>
      <vt:lpstr>Glasbewassing!Afdrukbereik</vt:lpstr>
      <vt:lpstr>Prestatiefactoren!Afdrukbereik</vt:lpstr>
      <vt:lpstr>'Regie en afroep'!Afdrukbereik</vt:lpstr>
      <vt:lpstr>'Ruimtestaat'!Afdrukbereik</vt:lpstr>
      <vt:lpstr>Tariefsopbouw!Afdrukbereik</vt:lpstr>
      <vt:lpstr>Totalisatie!Afdrukbereik</vt:lpstr>
      <vt:lpstr>Vloeronderhoud!Afdrukbereik</vt:lpstr>
      <vt:lpstr>'Werkprogramma dieptereiniging'!Afdrukbereik</vt:lpstr>
      <vt:lpstr>'Ruimtestaat'!Afdruktitels</vt:lpstr>
      <vt:lpstr>Invulglas1</vt:lpstr>
      <vt:lpstr>Invulvloer1</vt:lpstr>
    </vt:vector>
  </TitlesOfParts>
  <Company>Facet Facilitaire Diensten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Willem</dc:creator>
  <cp:lastModifiedBy>Thijs van Duiven | Inkada Inkoop &amp; Advies</cp:lastModifiedBy>
  <cp:lastPrinted>2021-05-06T12:51:21Z</cp:lastPrinted>
  <dcterms:created xsi:type="dcterms:W3CDTF">1999-03-23T11:24:21Z</dcterms:created>
  <dcterms:modified xsi:type="dcterms:W3CDTF">2021-07-28T11:02:35Z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