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o365.sharepoint.com/sites/Bureau/Aanbestedingen/Beheer/09. Schoonmaak/Aanbesteding 2022/2. Aanbestedingsdocument/Bijlagen SW/"/>
    </mc:Choice>
  </mc:AlternateContent>
  <xr:revisionPtr revIDLastSave="0" documentId="8_{8F52782C-76A7-4FA7-B97F-39D69CCE14CB}" xr6:coauthVersionLast="47" xr6:coauthVersionMax="47" xr10:uidLastSave="{00000000-0000-0000-0000-000000000000}"/>
  <bookViews>
    <workbookView xWindow="-108" yWindow="-108" windowWidth="23256" windowHeight="12576" xr2:uid="{B20230EA-279B-49DC-BD72-1D7BA6127A55}"/>
  </bookViews>
  <sheets>
    <sheet name="Omreken" sheetId="1" r:id="rId1"/>
    <sheet name="Categorienormen" sheetId="2" r:id="rId2"/>
    <sheet name="Regulier werk" sheetId="3" r:id="rId3"/>
    <sheet name="Ruimten werkdag" sheetId="4" r:id="rId4"/>
    <sheet name="Objectinformatie" sheetId="5" r:id="rId5"/>
    <sheet name="Objecten" sheetId="6" r:id="rId6"/>
    <sheet name="Niet-meewerkende objectleiding" sheetId="7" r:id="rId7"/>
    <sheet name="Totaalblad Objecten" sheetId="8" r:id="rId8"/>
    <sheet name="Afroep incidenteel" sheetId="9" r:id="rId9"/>
    <sheet name="Regiewerk" sheetId="10" r:id="rId10"/>
    <sheet name="Totaal" sheetId="11" r:id="rId11"/>
  </sheets>
  <definedNames>
    <definedName name="_xlnm.Print_Titles" localSheetId="8">'Afroep incidenteel'!$1:$3</definedName>
    <definedName name="_xlnm.Print_Titles" localSheetId="1">Categorienormen!$1:$3</definedName>
    <definedName name="_xlnm.Print_Titles" localSheetId="6">'Niet-meewerkende objectleiding'!$1:$3</definedName>
    <definedName name="_xlnm.Print_Titles" localSheetId="5">Objecten!$1:$3</definedName>
    <definedName name="_xlnm.Print_Titles" localSheetId="4">Objectinformatie!$A:$D,Objectinformatie!$1:$4</definedName>
    <definedName name="_xlnm.Print_Titles" localSheetId="9">Regiewerk!$1:$3</definedName>
    <definedName name="_xlnm.Print_Titles" localSheetId="2">'Regulier werk'!$1:$3</definedName>
    <definedName name="_xlnm.Print_Titles" localSheetId="3">'Ruimten werkdag'!$1:$3</definedName>
    <definedName name="_xlnm.Print_Titles" localSheetId="10">Totaal!$1:$3</definedName>
    <definedName name="_xlnm.Print_Titles" localSheetId="7">'Totaalblad Objecten'!$A:$A,'Totaalblad Objecten'!$1:$3</definedName>
    <definedName name="catdw_1_BKHB_1">Categorienormen!$F$48</definedName>
    <definedName name="catdw_1_BKHV_42">Categorienormen!$F$49</definedName>
    <definedName name="catdw_1_BKZB_1">Categorienormen!$F$50</definedName>
    <definedName name="catdw_1_BKZV_42">Categorienormen!$F$51</definedName>
    <definedName name="catdw_1_GSHB_1">Categorienormen!$F$6</definedName>
    <definedName name="catdw_1_GSHV_42">Categorienormen!$F$7</definedName>
    <definedName name="catdw_1_GTHB_1">Categorienormen!$F$8</definedName>
    <definedName name="catdw_1_GTHV_42">Categorienormen!$F$9</definedName>
    <definedName name="catdw_1_KAHB_1">Categorienormen!$F$22</definedName>
    <definedName name="catdw_1_KAHV_42">Categorienormen!$F$25</definedName>
    <definedName name="catdw_1_KDHB_1">Categorienormen!$F$30</definedName>
    <definedName name="catdw_1_KDHV_42">Categorienormen!$F$31</definedName>
    <definedName name="catdw_1_KDZB_1">Categorienormen!$F$32</definedName>
    <definedName name="catdw_1_KDZV_42">Categorienormen!$F$33</definedName>
    <definedName name="catdw_1_KKHB_1">Categorienormen!$F$36</definedName>
    <definedName name="catdw_1_KKHV_42">Categorienormen!$F$37</definedName>
    <definedName name="catdw_1_LLHB_1">Categorienormen!$F$52</definedName>
    <definedName name="catdw_1_LLHV_42">Categorienormen!$F$54</definedName>
    <definedName name="catdw_1_LLZB_1">Categorienormen!$F$56</definedName>
    <definedName name="catdw_1_LLZV_42">Categorienormen!$F$57</definedName>
    <definedName name="catdw_1_LOHB_1">Categorienormen!$F$58</definedName>
    <definedName name="catdw_1_LOHV_42">Categorienormen!$F$59</definedName>
    <definedName name="catdw_1_MAHB_1">Categorienormen!$F$44</definedName>
    <definedName name="catdw_1_MAHV_42">Categorienormen!$F$46</definedName>
    <definedName name="catdw_1_OAHB_1">Categorienormen!$F$23</definedName>
    <definedName name="catdw_1_OAHV_42">Categorienormen!$F$26</definedName>
    <definedName name="catdw_1_PAHB_1">Categorienormen!$F$45</definedName>
    <definedName name="catdw_1_PAHV_42">Categorienormen!$F$47</definedName>
    <definedName name="catdw_1_PKHB_1">Categorienormen!$F$10</definedName>
    <definedName name="catdw_1_PKHV_42">Categorienormen!$F$11</definedName>
    <definedName name="catdw_1_PLHB_1">Categorienormen!$F$53</definedName>
    <definedName name="catdw_1_PLHV_42">Categorienormen!$F$55</definedName>
    <definedName name="catdw_1_PSHB_1">Categorienormen!$F$60</definedName>
    <definedName name="catdw_1_PSHV_42">Categorienormen!$F$61</definedName>
    <definedName name="catdw_1_PWHB_1">Categorienormen!$F$12</definedName>
    <definedName name="catdw_1_PWHV_42">Categorienormen!$F$13</definedName>
    <definedName name="catdw_1_SDHB_1">Categorienormen!$F$14</definedName>
    <definedName name="catdw_1_SDHV_42">Categorienormen!$F$15</definedName>
    <definedName name="catdw_1_SKHB_1">Categorienormen!$F$16</definedName>
    <definedName name="catdw_1_SKHV_42">Categorienormen!$F$17</definedName>
    <definedName name="catdw_1_STHB_1">Categorienormen!$F$18</definedName>
    <definedName name="catdw_1_STHV_42">Categorienormen!$F$19</definedName>
    <definedName name="catdw_1_SWHB_1">Categorienormen!$F$20</definedName>
    <definedName name="catdw_1_SWHV_42">Categorienormen!$F$21</definedName>
    <definedName name="catdw_1_VAHB_1">Categorienormen!$F$24</definedName>
    <definedName name="catdw_1_VAHV_42">Categorienormen!$F$27</definedName>
    <definedName name="catdw_1_VAZB_1">Categorienormen!$F$28</definedName>
    <definedName name="catdw_1_VAZV_42">Categorienormen!$F$29</definedName>
    <definedName name="catdw_1_VEZB_1">Categorienormen!$F$34</definedName>
    <definedName name="catdw_1_VEZV_42">Categorienormen!$F$35</definedName>
    <definedName name="catdw_1_VOHB_1">Categorienormen!$F$38</definedName>
    <definedName name="catdw_1_VOHV_42">Categorienormen!$F$39</definedName>
    <definedName name="catdw_1_VOZB_1">Categorienormen!$F$40</definedName>
    <definedName name="catdw_1_VOZV_42">Categorienormen!$F$41</definedName>
    <definedName name="catdw_1_VTHB_1">Categorienormen!$F$42</definedName>
    <definedName name="catdw_1_VTHV_42">Categorienormen!$F$43</definedName>
    <definedName name="catfd_1_BKHB_1">Categorienormen!$C$48</definedName>
    <definedName name="catfd_1_BKHV_42">Categorienormen!$C$49</definedName>
    <definedName name="catfd_1_BKZB_1">Categorienormen!$C$50</definedName>
    <definedName name="catfd_1_BKZV_42">Categorienormen!$C$51</definedName>
    <definedName name="catfd_1_GSHB_1">Categorienormen!$C$6</definedName>
    <definedName name="catfd_1_GSHV_42">Categorienormen!$C$7</definedName>
    <definedName name="catfd_1_GTHB_1">Categorienormen!$C$8</definedName>
    <definedName name="catfd_1_GTHV_42">Categorienormen!$C$9</definedName>
    <definedName name="catfd_1_KAHB_1">Categorienormen!$C$22</definedName>
    <definedName name="catfd_1_KAHV_42">Categorienormen!$C$25</definedName>
    <definedName name="catfd_1_KDHB_1">Categorienormen!$C$30</definedName>
    <definedName name="catfd_1_KDHV_42">Categorienormen!$C$31</definedName>
    <definedName name="catfd_1_KDZB_1">Categorienormen!$C$32</definedName>
    <definedName name="catfd_1_KDZV_42">Categorienormen!$C$33</definedName>
    <definedName name="catfd_1_KKHB_1">Categorienormen!$C$36</definedName>
    <definedName name="catfd_1_KKHV_42">Categorienormen!$C$37</definedName>
    <definedName name="catfd_1_LLHB_1">Categorienormen!$C$52</definedName>
    <definedName name="catfd_1_LLHV_42">Categorienormen!$C$54</definedName>
    <definedName name="catfd_1_LLZB_1">Categorienormen!$C$56</definedName>
    <definedName name="catfd_1_LLZV_42">Categorienormen!$C$57</definedName>
    <definedName name="catfd_1_LOHB_1">Categorienormen!$C$58</definedName>
    <definedName name="catfd_1_LOHV_42">Categorienormen!$C$59</definedName>
    <definedName name="catfd_1_MAHB_1">Categorienormen!$C$44</definedName>
    <definedName name="catfd_1_MAHV_42">Categorienormen!$C$46</definedName>
    <definedName name="catfd_1_OAHB_1">Categorienormen!$C$23</definedName>
    <definedName name="catfd_1_OAHV_42">Categorienormen!$C$26</definedName>
    <definedName name="catfd_1_PAHB_1">Categorienormen!$C$45</definedName>
    <definedName name="catfd_1_PAHV_42">Categorienormen!$C$47</definedName>
    <definedName name="catfd_1_PKHB_1">Categorienormen!$C$10</definedName>
    <definedName name="catfd_1_PKHV_42">Categorienormen!$C$11</definedName>
    <definedName name="catfd_1_PLHB_1">Categorienormen!$C$53</definedName>
    <definedName name="catfd_1_PLHV_42">Categorienormen!$C$55</definedName>
    <definedName name="catfd_1_PSHB_1">Categorienormen!$C$60</definedName>
    <definedName name="catfd_1_PSHV_42">Categorienormen!$C$61</definedName>
    <definedName name="catfd_1_PWHB_1">Categorienormen!$C$12</definedName>
    <definedName name="catfd_1_PWHV_42">Categorienormen!$C$13</definedName>
    <definedName name="catfd_1_SDHB_1">Categorienormen!$C$14</definedName>
    <definedName name="catfd_1_SDHV_42">Categorienormen!$C$15</definedName>
    <definedName name="catfd_1_SKHB_1">Categorienormen!$C$16</definedName>
    <definedName name="catfd_1_SKHV_42">Categorienormen!$C$17</definedName>
    <definedName name="catfd_1_STHB_1">Categorienormen!$C$18</definedName>
    <definedName name="catfd_1_STHV_42">Categorienormen!$C$19</definedName>
    <definedName name="catfd_1_SWHB_1">Categorienormen!$C$20</definedName>
    <definedName name="catfd_1_SWHV_42">Categorienormen!$C$21</definedName>
    <definedName name="catfd_1_VAHB_1">Categorienormen!$C$24</definedName>
    <definedName name="catfd_1_VAHV_42">Categorienormen!$C$27</definedName>
    <definedName name="catfd_1_VAZB_1">Categorienormen!$C$28</definedName>
    <definedName name="catfd_1_VAZV_42">Categorienormen!$C$29</definedName>
    <definedName name="catfd_1_VEZB_1">Categorienormen!$C$34</definedName>
    <definedName name="catfd_1_VEZV_42">Categorienormen!$C$35</definedName>
    <definedName name="catfd_1_VOHB_1">Categorienormen!$C$38</definedName>
    <definedName name="catfd_1_VOHV_42">Categorienormen!$C$39</definedName>
    <definedName name="catfd_1_VOZB_1">Categorienormen!$C$40</definedName>
    <definedName name="catfd_1_VOZV_42">Categorienormen!$C$41</definedName>
    <definedName name="catfd_1_VTHB_1">Categorienormen!$C$42</definedName>
    <definedName name="catfd_1_VTHV_42">Categorienormen!$C$43</definedName>
    <definedName name="catpn_1_BKHB_1">Categorienormen!$E$48</definedName>
    <definedName name="catpn_1_BKHV_42">Categorienormen!$E$49</definedName>
    <definedName name="catpn_1_BKZB_1">Categorienormen!$E$50</definedName>
    <definedName name="catpn_1_BKZV_42">Categorienormen!$E$51</definedName>
    <definedName name="catpn_1_GSHB_1">Categorienormen!$E$6</definedName>
    <definedName name="catpn_1_GSHV_42">Categorienormen!$E$7</definedName>
    <definedName name="catpn_1_GTHB_1">Categorienormen!$E$8</definedName>
    <definedName name="catpn_1_GTHV_42">Categorienormen!$E$9</definedName>
    <definedName name="catpn_1_KAHB_1">Categorienormen!$E$22</definedName>
    <definedName name="catpn_1_KAHV_42">Categorienormen!$E$25</definedName>
    <definedName name="catpn_1_KDHB_1">Categorienormen!$E$30</definedName>
    <definedName name="catpn_1_KDHV_42">Categorienormen!$E$31</definedName>
    <definedName name="catpn_1_KDZB_1">Categorienormen!$E$32</definedName>
    <definedName name="catpn_1_KDZV_42">Categorienormen!$E$33</definedName>
    <definedName name="catpn_1_KKHB_1">Categorienormen!$E$36</definedName>
    <definedName name="catpn_1_KKHV_42">Categorienormen!$E$37</definedName>
    <definedName name="catpn_1_LLHB_1">Categorienormen!$E$52</definedName>
    <definedName name="catpn_1_LLHV_42">Categorienormen!$E$54</definedName>
    <definedName name="catpn_1_LLZB_1">Categorienormen!$E$56</definedName>
    <definedName name="catpn_1_LLZV_42">Categorienormen!$E$57</definedName>
    <definedName name="catpn_1_LOHB_1">Categorienormen!$E$58</definedName>
    <definedName name="catpn_1_LOHV_42">Categorienormen!$E$59</definedName>
    <definedName name="catpn_1_MAHB_1">Categorienormen!$E$44</definedName>
    <definedName name="catpn_1_MAHV_42">Categorienormen!$E$46</definedName>
    <definedName name="catpn_1_OAHB_1">Categorienormen!$E$23</definedName>
    <definedName name="catpn_1_OAHV_42">Categorienormen!$E$26</definedName>
    <definedName name="catpn_1_PAHB_1">Categorienormen!$E$45</definedName>
    <definedName name="catpn_1_PAHV_42">Categorienormen!$E$47</definedName>
    <definedName name="catpn_1_PKHB_1">Categorienormen!$E$10</definedName>
    <definedName name="catpn_1_PKHV_42">Categorienormen!$E$11</definedName>
    <definedName name="catpn_1_PLHB_1">Categorienormen!$E$53</definedName>
    <definedName name="catpn_1_PLHV_42">Categorienormen!$E$55</definedName>
    <definedName name="catpn_1_PSHB_1">Categorienormen!$E$60</definedName>
    <definedName name="catpn_1_PSHV_42">Categorienormen!$E$61</definedName>
    <definedName name="catpn_1_PWHB_1">Categorienormen!$E$12</definedName>
    <definedName name="catpn_1_PWHV_42">Categorienormen!$E$13</definedName>
    <definedName name="catpn_1_SDHB_1">Categorienormen!$E$14</definedName>
    <definedName name="catpn_1_SDHV_42">Categorienormen!$E$15</definedName>
    <definedName name="catpn_1_SKHB_1">Categorienormen!$E$16</definedName>
    <definedName name="catpn_1_SKHV_42">Categorienormen!$E$17</definedName>
    <definedName name="catpn_1_STHB_1">Categorienormen!$E$18</definedName>
    <definedName name="catpn_1_STHV_42">Categorienormen!$E$19</definedName>
    <definedName name="catpn_1_SWHB_1">Categorienormen!$E$20</definedName>
    <definedName name="catpn_1_SWHV_42">Categorienormen!$E$21</definedName>
    <definedName name="catpn_1_VAHB_1">Categorienormen!$E$24</definedName>
    <definedName name="catpn_1_VAHV_42">Categorienormen!$E$27</definedName>
    <definedName name="catpn_1_VAZB_1">Categorienormen!$E$28</definedName>
    <definedName name="catpn_1_VAZV_42">Categorienormen!$E$29</definedName>
    <definedName name="catpn_1_VEZB_1">Categorienormen!$E$34</definedName>
    <definedName name="catpn_1_VEZV_42">Categorienormen!$E$35</definedName>
    <definedName name="catpn_1_VOHB_1">Categorienormen!$E$38</definedName>
    <definedName name="catpn_1_VOHV_42">Categorienormen!$E$39</definedName>
    <definedName name="catpn_1_VOZB_1">Categorienormen!$E$40</definedName>
    <definedName name="catpn_1_VOZV_42">Categorienormen!$E$41</definedName>
    <definedName name="catpn_1_VTHB_1">Categorienormen!$E$42</definedName>
    <definedName name="catpn_1_VTHV_42">Categorienormen!$E$43</definedName>
    <definedName name="cattf_1_BKHB_1">Categorienormen!$H$48</definedName>
    <definedName name="cattf_1_BKHV_42">Categorienormen!$H$49</definedName>
    <definedName name="cattf_1_BKZB_1">Categorienormen!$H$50</definedName>
    <definedName name="cattf_1_BKZV_42">Categorienormen!$H$51</definedName>
    <definedName name="cattf_1_GSHB_1">Categorienormen!$H$6</definedName>
    <definedName name="cattf_1_GSHV_42">Categorienormen!$H$7</definedName>
    <definedName name="cattf_1_GTHB_1">Categorienormen!$H$8</definedName>
    <definedName name="cattf_1_GTHV_42">Categorienormen!$H$9</definedName>
    <definedName name="cattf_1_KAHB_1">Categorienormen!$H$22</definedName>
    <definedName name="cattf_1_KAHV_42">Categorienormen!$H$25</definedName>
    <definedName name="cattf_1_KDHB_1">Categorienormen!$H$30</definedName>
    <definedName name="cattf_1_KDHV_42">Categorienormen!$H$31</definedName>
    <definedName name="cattf_1_KDZB_1">Categorienormen!$H$32</definedName>
    <definedName name="cattf_1_KDZV_42">Categorienormen!$H$33</definedName>
    <definedName name="cattf_1_KKHB_1">Categorienormen!$H$36</definedName>
    <definedName name="cattf_1_KKHV_42">Categorienormen!$H$37</definedName>
    <definedName name="cattf_1_LLHB_1">Categorienormen!$H$52</definedName>
    <definedName name="cattf_1_LLHV_42">Categorienormen!$H$54</definedName>
    <definedName name="cattf_1_LLZB_1">Categorienormen!$H$56</definedName>
    <definedName name="cattf_1_LLZV_42">Categorienormen!$H$57</definedName>
    <definedName name="cattf_1_LOHB_1">Categorienormen!$H$58</definedName>
    <definedName name="cattf_1_LOHV_42">Categorienormen!$H$59</definedName>
    <definedName name="cattf_1_MAHB_1">Categorienormen!$H$44</definedName>
    <definedName name="cattf_1_MAHV_42">Categorienormen!$H$46</definedName>
    <definedName name="cattf_1_OAHB_1">Categorienormen!$H$23</definedName>
    <definedName name="cattf_1_OAHV_42">Categorienormen!$H$26</definedName>
    <definedName name="cattf_1_PAHB_1">Categorienormen!$H$45</definedName>
    <definedName name="cattf_1_PAHV_42">Categorienormen!$H$47</definedName>
    <definedName name="cattf_1_PKHB_1">Categorienormen!$H$10</definedName>
    <definedName name="cattf_1_PKHV_42">Categorienormen!$H$11</definedName>
    <definedName name="cattf_1_PLHB_1">Categorienormen!$H$53</definedName>
    <definedName name="cattf_1_PLHV_42">Categorienormen!$H$55</definedName>
    <definedName name="cattf_1_PSHB_1">Categorienormen!$H$60</definedName>
    <definedName name="cattf_1_PSHV_42">Categorienormen!$H$61</definedName>
    <definedName name="cattf_1_PWHB_1">Categorienormen!$H$12</definedName>
    <definedName name="cattf_1_PWHV_42">Categorienormen!$H$13</definedName>
    <definedName name="cattf_1_SDHB_1">Categorienormen!$H$14</definedName>
    <definedName name="cattf_1_SDHV_42">Categorienormen!$H$15</definedName>
    <definedName name="cattf_1_SKHB_1">Categorienormen!$H$16</definedName>
    <definedName name="cattf_1_SKHV_42">Categorienormen!$H$17</definedName>
    <definedName name="cattf_1_STHB_1">Categorienormen!$H$18</definedName>
    <definedName name="cattf_1_STHV_42">Categorienormen!$H$19</definedName>
    <definedName name="cattf_1_SWHB_1">Categorienormen!$H$20</definedName>
    <definedName name="cattf_1_SWHV_42">Categorienormen!$H$21</definedName>
    <definedName name="cattf_1_VAHB_1">Categorienormen!$H$24</definedName>
    <definedName name="cattf_1_VAHV_42">Categorienormen!$H$27</definedName>
    <definedName name="cattf_1_VAZB_1">Categorienormen!$H$28</definedName>
    <definedName name="cattf_1_VAZV_42">Categorienormen!$H$29</definedName>
    <definedName name="cattf_1_VEZB_1">Categorienormen!$H$34</definedName>
    <definedName name="cattf_1_VEZV_42">Categorienormen!$H$35</definedName>
    <definedName name="cattf_1_VOHB_1">Categorienormen!$H$38</definedName>
    <definedName name="cattf_1_VOHV_42">Categorienormen!$H$39</definedName>
    <definedName name="cattf_1_VOZB_1">Categorienormen!$H$40</definedName>
    <definedName name="cattf_1_VOZV_42">Categorienormen!$H$41</definedName>
    <definedName name="cattf_1_VTHB_1">Categorienormen!$H$42</definedName>
    <definedName name="cattf_1_VTHV_42">Categorienormen!$H$43</definedName>
    <definedName name="dagenperjaar1">Omreken!$B$9</definedName>
    <definedName name="dagenperjaar2">Omreken!$E$9</definedName>
    <definedName name="dagenperjaar3">Omreken!$H$9</definedName>
    <definedName name="dagenperweek1">Omreken!$B$10</definedName>
    <definedName name="dagenperweek2">Omreken!$E$10</definedName>
    <definedName name="dagenperweek3">Omreken!$H$10</definedName>
    <definedName name="dagsoorttabel1">Omreken!$A$13:$B$27</definedName>
    <definedName name="dagsoorttabel2">Omreken!$D$13:$E$24</definedName>
    <definedName name="dagsoorttabel3">Omreken!$G$13:$H$15</definedName>
    <definedName name="dagwerk1">'Regulier werk'!$H$6</definedName>
    <definedName name="dagwerk10">'Regulier werk'!$H$15</definedName>
    <definedName name="dagwerk11">'Regulier werk'!$H$16</definedName>
    <definedName name="dagwerk12">'Regulier werk'!$H$17</definedName>
    <definedName name="dagwerk13">'Regulier werk'!$H$18</definedName>
    <definedName name="dagwerk14">'Regulier werk'!$H$19</definedName>
    <definedName name="dagwerk15">'Regulier werk'!$H$20</definedName>
    <definedName name="dagwerk16">'Regulier werk'!$H$21</definedName>
    <definedName name="dagwerk17">'Regulier werk'!$H$22</definedName>
    <definedName name="dagwerk18">'Regulier werk'!$H$23</definedName>
    <definedName name="dagwerk19">'Regulier werk'!$H$24</definedName>
    <definedName name="dagwerk2">'Regulier werk'!$H$7</definedName>
    <definedName name="dagwerk20">'Regulier werk'!$H$25</definedName>
    <definedName name="dagwerk21">'Regulier werk'!$H$26</definedName>
    <definedName name="dagwerk22">'Regulier werk'!$H$27</definedName>
    <definedName name="dagwerk23">'Regulier werk'!$H$28</definedName>
    <definedName name="dagwerk24">'Regulier werk'!$H$29</definedName>
    <definedName name="dagwerk25">'Regulier werk'!$H$30</definedName>
    <definedName name="dagwerk26">'Regulier werk'!$H$31</definedName>
    <definedName name="dagwerk27">'Regulier werk'!$H$32</definedName>
    <definedName name="dagwerk28">'Regulier werk'!$H$33</definedName>
    <definedName name="dagwerk29">'Regulier werk'!$H$34</definedName>
    <definedName name="dagwerk3">'Regulier werk'!$H$8</definedName>
    <definedName name="dagwerk30">'Regulier werk'!$H$35</definedName>
    <definedName name="dagwerk31">'Regulier werk'!$H$36</definedName>
    <definedName name="dagwerk4">'Regulier werk'!$H$9</definedName>
    <definedName name="dagwerk5">'Regulier werk'!$H$10</definedName>
    <definedName name="dagwerk6">'Regulier werk'!$H$11</definedName>
    <definedName name="dagwerk7">'Regulier werk'!$H$12</definedName>
    <definedName name="dagwerk8">'Regulier werk'!$H$13</definedName>
    <definedName name="dagwerk9">'Regulier werk'!$H$14</definedName>
    <definedName name="dagwerktabel1">Objectinformatie!$H$5:$H$35</definedName>
    <definedName name="gemuurtarief1">'Regulier werk'!$J$39</definedName>
    <definedName name="kengetaltabel1">Objectinformatie!$G$5:$G$35</definedName>
    <definedName name="object1_gemuurtarief1">'Ruimten werkdag'!$Q$81</definedName>
    <definedName name="object1_opptabel1">Objectinformatie!$J$5:$J$35</definedName>
    <definedName name="object1_prijsdag1">'Ruimten werkdag'!$T$81</definedName>
    <definedName name="object1_prijsjaar1">'Ruimten werkdag'!$V$81</definedName>
    <definedName name="object1_urendag1">'Ruimten werkdag'!$R$81</definedName>
    <definedName name="object1_urendaghf1">'Ruimten werkdag'!$S$81</definedName>
    <definedName name="object1_urenjaar1">'Ruimten werkdag'!$U$81</definedName>
    <definedName name="object2_gemuurtarief1">'Ruimten werkdag'!$Q$221</definedName>
    <definedName name="object2_opptabel1">Objectinformatie!$K$5:$K$35</definedName>
    <definedName name="object2_prijsdag1">'Ruimten werkdag'!$T$221</definedName>
    <definedName name="object2_prijsjaar1">'Ruimten werkdag'!$V$221</definedName>
    <definedName name="object2_urendag1">'Ruimten werkdag'!$R$221</definedName>
    <definedName name="object2_urendaghf1">'Ruimten werkdag'!$S$221</definedName>
    <definedName name="object2_urenjaar1">'Ruimten werkdag'!$U$221</definedName>
    <definedName name="object3_gemuurtarief1">'Ruimten werkdag'!$Q$323</definedName>
    <definedName name="object3_opptabel1">Objectinformatie!$L$5:$L$35</definedName>
    <definedName name="object3_prijsdag1">'Ruimten werkdag'!$T$323</definedName>
    <definedName name="object3_prijsjaar1">'Ruimten werkdag'!$V$323</definedName>
    <definedName name="object3_urendag1">'Ruimten werkdag'!$R$323</definedName>
    <definedName name="object3_urendaghf1">'Ruimten werkdag'!$S$323</definedName>
    <definedName name="object3_urenjaar1">'Ruimten werkdag'!$U$323</definedName>
    <definedName name="objectprijs1_1">Objecten!$L$6</definedName>
    <definedName name="objectprijs2_1">Objecten!$L$7</definedName>
    <definedName name="objectprijs3_1">Objecten!$L$8</definedName>
    <definedName name="objecturen1_1">Objecten!$K$6</definedName>
    <definedName name="objecturen2_1">Objecten!$K$7</definedName>
    <definedName name="objecturen3_1">Objecten!$K$8</definedName>
    <definedName name="objecturenhf1_1">Objecten!$J$6</definedName>
    <definedName name="objecturenhf2_1">Objecten!$J$7</definedName>
    <definedName name="objecturenhf3_1">Objecten!$J$8</definedName>
    <definedName name="prijsdag1">'Regulier werk'!$L$37</definedName>
    <definedName name="prijsjaar">'Regulier werk'!$N$42</definedName>
    <definedName name="prijsjaar1">'Regulier werk'!$N$37</definedName>
    <definedName name="prijsjaarnietmeewerkend">'Niet-meewerkende objectleiding'!$J$33</definedName>
    <definedName name="prijsjaarregie">Regiewerk!$K$11</definedName>
    <definedName name="prijsjaarregie1">Regiewerk!$K$9</definedName>
    <definedName name="prijsjaartotaal">Objecten!$L$12</definedName>
    <definedName name="prijsjaartotaal1">Objecten!$L$9</definedName>
    <definedName name="prijsjaartotaaloverzicht">'Totaalblad Objecten'!$B$13</definedName>
    <definedName name="prijsmaandtotaal1">Objecten!$M$9</definedName>
    <definedName name="prodnorm1">'Regulier werk'!$G$6</definedName>
    <definedName name="prodnorm10">'Regulier werk'!$G$15</definedName>
    <definedName name="prodnorm11">'Regulier werk'!$G$16</definedName>
    <definedName name="prodnorm12">'Regulier werk'!$G$17</definedName>
    <definedName name="prodnorm13">'Regulier werk'!$G$18</definedName>
    <definedName name="prodnorm14">'Regulier werk'!$G$19</definedName>
    <definedName name="prodnorm15">'Regulier werk'!$G$20</definedName>
    <definedName name="prodnorm16">'Regulier werk'!$G$21</definedName>
    <definedName name="prodnorm17">'Regulier werk'!$G$22</definedName>
    <definedName name="prodnorm18">'Regulier werk'!$G$23</definedName>
    <definedName name="prodnorm19">'Regulier werk'!$G$24</definedName>
    <definedName name="prodnorm2">'Regulier werk'!$G$7</definedName>
    <definedName name="prodnorm20">'Regulier werk'!$G$25</definedName>
    <definedName name="prodnorm21">'Regulier werk'!$G$26</definedName>
    <definedName name="prodnorm22">'Regulier werk'!$G$27</definedName>
    <definedName name="prodnorm23">'Regulier werk'!$G$28</definedName>
    <definedName name="prodnorm24">'Regulier werk'!$G$29</definedName>
    <definedName name="prodnorm25">'Regulier werk'!$G$30</definedName>
    <definedName name="prodnorm26">'Regulier werk'!$G$31</definedName>
    <definedName name="prodnorm27">'Regulier werk'!$G$32</definedName>
    <definedName name="prodnorm28">'Regulier werk'!$G$33</definedName>
    <definedName name="prodnorm29">'Regulier werk'!$G$34</definedName>
    <definedName name="prodnorm3">'Regulier werk'!$G$8</definedName>
    <definedName name="prodnorm30">'Regulier werk'!$G$35</definedName>
    <definedName name="prodnorm31">'Regulier werk'!$G$36</definedName>
    <definedName name="prodnorm4">'Regulier werk'!$G$9</definedName>
    <definedName name="prodnorm5">'Regulier werk'!$G$10</definedName>
    <definedName name="prodnorm6">'Regulier werk'!$G$11</definedName>
    <definedName name="prodnorm7">'Regulier werk'!$G$12</definedName>
    <definedName name="prodnorm8">'Regulier werk'!$G$13</definedName>
    <definedName name="prodnorm9">'Regulier werk'!$G$14</definedName>
    <definedName name="taakfreqtabel1">Objectinformatie!$E$5:$E$35</definedName>
    <definedName name="tabeltype">Omreken!$B$5:$B$5</definedName>
    <definedName name="tarieftabel1">Objectinformatie!$I$5:$I$35</definedName>
    <definedName name="tzpjt1">'Niet-meewerkende objectleiding'!$J$30</definedName>
    <definedName name="tzpjt1_1">'Niet-meewerkende objectleiding'!$J$12</definedName>
    <definedName name="tzpjt2_1">'Niet-meewerkende objectleiding'!$J$20</definedName>
    <definedName name="tzpjt3_1">'Niet-meewerkende objectleiding'!$J$28</definedName>
    <definedName name="tzpmt1">'Niet-meewerkende objectleiding'!$K$30</definedName>
    <definedName name="tzpmt1_1">'Niet-meewerkende objectleiding'!$K$12</definedName>
    <definedName name="tzpmt2_1">'Niet-meewerkende objectleiding'!$K$20</definedName>
    <definedName name="tzpmt3_1">'Niet-meewerkende objectleiding'!$K$28</definedName>
    <definedName name="tzujt1">'Niet-meewerkende objectleiding'!$H$30</definedName>
    <definedName name="tzujt1_1">'Niet-meewerkende objectleiding'!$H$12</definedName>
    <definedName name="tzujt2_1">'Niet-meewerkende objectleiding'!$H$20</definedName>
    <definedName name="tzujt3_1">'Niet-meewerkende objectleiding'!$H$28</definedName>
    <definedName name="urendag1">'Regulier werk'!$K$37</definedName>
    <definedName name="urenjaar">'Regulier werk'!$M$42</definedName>
    <definedName name="urenjaar1">'Regulier werk'!$M$37</definedName>
    <definedName name="urenjaarnietmeewerkend">'Niet-meewerkende objectleiding'!$H$33</definedName>
    <definedName name="urenjaartotaal">Objecten!$K$12</definedName>
    <definedName name="urenjaartotaal1">Objecten!$K$9</definedName>
    <definedName name="urenjaartotaalhf">Objecten!$J$12</definedName>
    <definedName name="urenjaartotaalhf1">Objecten!$J$9</definedName>
    <definedName name="urenjaartotaaloverzicht">'Totaalblad Objecten'!$B$11</definedName>
    <definedName name="urenjaartotaaloverzichthf">'Totaalblad Objecten'!$B$10</definedName>
    <definedName name="uurfactortabel1">Objectinformatie!$F$5:$F$35</definedName>
    <definedName name="uurtarief1">'Regulier werk'!$J$6</definedName>
    <definedName name="uurtarief10">'Regulier werk'!$J$15</definedName>
    <definedName name="uurtarief11">'Regulier werk'!$J$16</definedName>
    <definedName name="uurtarief12">'Regulier werk'!$J$17</definedName>
    <definedName name="uurtarief13">'Regulier werk'!$J$18</definedName>
    <definedName name="uurtarief14">'Regulier werk'!$J$19</definedName>
    <definedName name="uurtarief15">'Regulier werk'!$J$20</definedName>
    <definedName name="uurtarief16">'Regulier werk'!$J$21</definedName>
    <definedName name="uurtarief17">'Regulier werk'!$J$22</definedName>
    <definedName name="uurtarief18">'Regulier werk'!$J$23</definedName>
    <definedName name="uurtarief19">'Regulier werk'!$J$24</definedName>
    <definedName name="uurtarief2">'Regulier werk'!$J$7</definedName>
    <definedName name="uurtarief20">'Regulier werk'!$J$25</definedName>
    <definedName name="uurtarief21">'Regulier werk'!$J$26</definedName>
    <definedName name="uurtarief22">'Regulier werk'!$J$27</definedName>
    <definedName name="uurtarief23">'Regulier werk'!$J$28</definedName>
    <definedName name="uurtarief24">'Regulier werk'!$J$29</definedName>
    <definedName name="uurtarief25">'Regulier werk'!$J$30</definedName>
    <definedName name="uurtarief26">'Regulier werk'!$J$31</definedName>
    <definedName name="uurtarief27">'Regulier werk'!$J$32</definedName>
    <definedName name="uurtarief28">'Regulier werk'!$J$33</definedName>
    <definedName name="uurtarief29">'Regulier werk'!$J$34</definedName>
    <definedName name="uurtarief3">'Regulier werk'!$J$8</definedName>
    <definedName name="uurtarief30">'Regulier werk'!$J$35</definedName>
    <definedName name="uurtarief31">'Regulier werk'!$J$36</definedName>
    <definedName name="uurtarief4">'Regulier werk'!$J$9</definedName>
    <definedName name="uurtarief5">'Regulier werk'!$J$10</definedName>
    <definedName name="uurtarief6">'Regulier werk'!$J$11</definedName>
    <definedName name="uurtarief7">'Regulier werk'!$J$12</definedName>
    <definedName name="uurtarief8">'Regulier werk'!$J$13</definedName>
    <definedName name="uurtarief9">'Regulier werk'!$J$14</definedName>
    <definedName name="vp_leiding">Totaal!$F$5</definedName>
    <definedName name="vp_regie">Totaal!$F$6</definedName>
    <definedName name="vp_regulier">Totaal!$F$4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1" l="1"/>
  <c r="J8" i="10"/>
  <c r="J7" i="10"/>
  <c r="J6" i="10"/>
  <c r="A1" i="10"/>
  <c r="A1" i="9"/>
  <c r="B8" i="8"/>
  <c r="D15" i="8"/>
  <c r="A1" i="8"/>
  <c r="H28" i="7"/>
  <c r="E14" i="8" s="1"/>
  <c r="K27" i="7"/>
  <c r="J27" i="7"/>
  <c r="H27" i="7"/>
  <c r="C27" i="7"/>
  <c r="I27" i="7" s="1"/>
  <c r="J26" i="7"/>
  <c r="J28" i="7" s="1"/>
  <c r="E15" i="8" s="1"/>
  <c r="H26" i="7"/>
  <c r="I26" i="7" s="1"/>
  <c r="C26" i="7"/>
  <c r="K25" i="7"/>
  <c r="J25" i="7"/>
  <c r="H25" i="7"/>
  <c r="C25" i="7"/>
  <c r="I25" i="7" s="1"/>
  <c r="J24" i="7"/>
  <c r="K24" i="7" s="1"/>
  <c r="H24" i="7"/>
  <c r="C24" i="7"/>
  <c r="I24" i="7" s="1"/>
  <c r="J19" i="7"/>
  <c r="K19" i="7" s="1"/>
  <c r="I19" i="7"/>
  <c r="H19" i="7"/>
  <c r="C19" i="7"/>
  <c r="K18" i="7"/>
  <c r="J18" i="7"/>
  <c r="H18" i="7"/>
  <c r="C18" i="7"/>
  <c r="I18" i="7" s="1"/>
  <c r="J17" i="7"/>
  <c r="K17" i="7" s="1"/>
  <c r="H17" i="7"/>
  <c r="H20" i="7" s="1"/>
  <c r="D14" i="8" s="1"/>
  <c r="C17" i="7"/>
  <c r="J16" i="7"/>
  <c r="J20" i="7" s="1"/>
  <c r="I16" i="7"/>
  <c r="H16" i="7"/>
  <c r="C16" i="7"/>
  <c r="K11" i="7"/>
  <c r="J11" i="7"/>
  <c r="I11" i="7"/>
  <c r="H11" i="7"/>
  <c r="C11" i="7"/>
  <c r="J10" i="7"/>
  <c r="K10" i="7" s="1"/>
  <c r="H10" i="7"/>
  <c r="C10" i="7"/>
  <c r="I10" i="7" s="1"/>
  <c r="J9" i="7"/>
  <c r="K9" i="7" s="1"/>
  <c r="H9" i="7"/>
  <c r="C9" i="7"/>
  <c r="I9" i="7" s="1"/>
  <c r="J8" i="7"/>
  <c r="J12" i="7" s="1"/>
  <c r="H8" i="7"/>
  <c r="C8" i="7"/>
  <c r="A1" i="7"/>
  <c r="A1" i="6"/>
  <c r="E31" i="5"/>
  <c r="G29" i="5"/>
  <c r="Q302" i="4"/>
  <c r="O302" i="4"/>
  <c r="M289" i="4"/>
  <c r="M279" i="4"/>
  <c r="Q278" i="4"/>
  <c r="M270" i="4"/>
  <c r="O261" i="4"/>
  <c r="Q236" i="4"/>
  <c r="U220" i="4"/>
  <c r="V220" i="4" s="1"/>
  <c r="T220" i="4"/>
  <c r="S220" i="4"/>
  <c r="R220" i="4"/>
  <c r="U219" i="4"/>
  <c r="V219" i="4" s="1"/>
  <c r="T219" i="4"/>
  <c r="S219" i="4"/>
  <c r="R219" i="4"/>
  <c r="M219" i="4"/>
  <c r="S218" i="4"/>
  <c r="R218" i="4"/>
  <c r="U218" i="4" s="1"/>
  <c r="V218" i="4" s="1"/>
  <c r="M212" i="4"/>
  <c r="N211" i="4"/>
  <c r="M211" i="4"/>
  <c r="N203" i="4"/>
  <c r="R203" i="4" s="1"/>
  <c r="U203" i="4" s="1"/>
  <c r="M203" i="4"/>
  <c r="V191" i="4"/>
  <c r="U191" i="4"/>
  <c r="T191" i="4"/>
  <c r="S191" i="4"/>
  <c r="R191" i="4"/>
  <c r="V190" i="4"/>
  <c r="U190" i="4"/>
  <c r="S190" i="4"/>
  <c r="R190" i="4"/>
  <c r="T190" i="4" s="1"/>
  <c r="V189" i="4"/>
  <c r="U189" i="4"/>
  <c r="T189" i="4"/>
  <c r="S189" i="4"/>
  <c r="R189" i="4"/>
  <c r="O183" i="4"/>
  <c r="Q176" i="4"/>
  <c r="N176" i="4"/>
  <c r="Q170" i="4"/>
  <c r="S165" i="4"/>
  <c r="R165" i="4"/>
  <c r="U165" i="4" s="1"/>
  <c r="V165" i="4" s="1"/>
  <c r="S164" i="4"/>
  <c r="R164" i="4"/>
  <c r="Q151" i="4"/>
  <c r="U143" i="4"/>
  <c r="V143" i="4" s="1"/>
  <c r="S143" i="4"/>
  <c r="R143" i="4"/>
  <c r="T143" i="4" s="1"/>
  <c r="S142" i="4"/>
  <c r="R142" i="4"/>
  <c r="S141" i="4"/>
  <c r="R141" i="4"/>
  <c r="U141" i="4" s="1"/>
  <c r="V141" i="4" s="1"/>
  <c r="V140" i="4"/>
  <c r="U140" i="4"/>
  <c r="T140" i="4"/>
  <c r="S140" i="4"/>
  <c r="R140" i="4"/>
  <c r="M140" i="4"/>
  <c r="V139" i="4"/>
  <c r="T139" i="4"/>
  <c r="S139" i="4"/>
  <c r="R139" i="4"/>
  <c r="U139" i="4" s="1"/>
  <c r="M134" i="4"/>
  <c r="M124" i="4"/>
  <c r="N121" i="4"/>
  <c r="Q114" i="4"/>
  <c r="Q110" i="4"/>
  <c r="N110" i="4"/>
  <c r="R110" i="4" s="1"/>
  <c r="M110" i="4"/>
  <c r="Q107" i="4"/>
  <c r="O105" i="4"/>
  <c r="N105" i="4"/>
  <c r="R105" i="4" s="1"/>
  <c r="M105" i="4"/>
  <c r="Q101" i="4"/>
  <c r="O101" i="4"/>
  <c r="N101" i="4"/>
  <c r="M101" i="4"/>
  <c r="M99" i="4"/>
  <c r="Q98" i="4"/>
  <c r="M98" i="4"/>
  <c r="M97" i="4"/>
  <c r="Q93" i="4"/>
  <c r="M93" i="4"/>
  <c r="Q92" i="4"/>
  <c r="O92" i="4"/>
  <c r="O90" i="4"/>
  <c r="Q89" i="4"/>
  <c r="M89" i="4"/>
  <c r="Q88" i="4"/>
  <c r="O88" i="4"/>
  <c r="O86" i="4"/>
  <c r="Q85" i="4"/>
  <c r="Q84" i="4"/>
  <c r="O84" i="4"/>
  <c r="N84" i="4"/>
  <c r="M84" i="4"/>
  <c r="Q80" i="4"/>
  <c r="M80" i="4"/>
  <c r="Q79" i="4"/>
  <c r="N79" i="4"/>
  <c r="M79" i="4"/>
  <c r="Q77" i="4"/>
  <c r="N77" i="4"/>
  <c r="N75" i="4"/>
  <c r="N73" i="4"/>
  <c r="M71" i="4"/>
  <c r="N68" i="4"/>
  <c r="O67" i="4"/>
  <c r="N67" i="4"/>
  <c r="N65" i="4"/>
  <c r="R65" i="4" s="1"/>
  <c r="U65" i="4" s="1"/>
  <c r="M65" i="4"/>
  <c r="N64" i="4"/>
  <c r="Q63" i="4"/>
  <c r="Q61" i="4"/>
  <c r="N61" i="4"/>
  <c r="Q60" i="4"/>
  <c r="O60" i="4"/>
  <c r="N60" i="4"/>
  <c r="M57" i="4"/>
  <c r="Q56" i="4"/>
  <c r="O56" i="4"/>
  <c r="N56" i="4"/>
  <c r="M56" i="4"/>
  <c r="Q54" i="4"/>
  <c r="O54" i="4"/>
  <c r="M54" i="4"/>
  <c r="M53" i="4"/>
  <c r="N52" i="4"/>
  <c r="N50" i="4"/>
  <c r="M49" i="4"/>
  <c r="Q47" i="4"/>
  <c r="M46" i="4"/>
  <c r="Q45" i="4"/>
  <c r="M45" i="4"/>
  <c r="Q44" i="4"/>
  <c r="M43" i="4"/>
  <c r="M42" i="4"/>
  <c r="Q41" i="4"/>
  <c r="O41" i="4"/>
  <c r="N41" i="4"/>
  <c r="N39" i="4"/>
  <c r="M39" i="4"/>
  <c r="R39" i="4" s="1"/>
  <c r="Q38" i="4"/>
  <c r="O38" i="4"/>
  <c r="N38" i="4"/>
  <c r="M38" i="4"/>
  <c r="Q37" i="4"/>
  <c r="Q36" i="4"/>
  <c r="M35" i="4"/>
  <c r="Q34" i="4"/>
  <c r="M34" i="4"/>
  <c r="N32" i="4"/>
  <c r="N31" i="4"/>
  <c r="N30" i="4"/>
  <c r="N29" i="4"/>
  <c r="M28" i="4"/>
  <c r="N27" i="4"/>
  <c r="N25" i="4"/>
  <c r="M25" i="4"/>
  <c r="Q24" i="4"/>
  <c r="O24" i="4"/>
  <c r="N24" i="4"/>
  <c r="Q23" i="4"/>
  <c r="O23" i="4"/>
  <c r="N23" i="4"/>
  <c r="M23" i="4"/>
  <c r="Q22" i="4"/>
  <c r="M21" i="4"/>
  <c r="Q20" i="4"/>
  <c r="O20" i="4"/>
  <c r="N20" i="4"/>
  <c r="Q18" i="4"/>
  <c r="M17" i="4"/>
  <c r="Q16" i="4"/>
  <c r="O16" i="4"/>
  <c r="N16" i="4"/>
  <c r="M16" i="4"/>
  <c r="R16" i="4" s="1"/>
  <c r="U16" i="4" s="1"/>
  <c r="V16" i="4" s="1"/>
  <c r="N14" i="4"/>
  <c r="Q12" i="4"/>
  <c r="M12" i="4"/>
  <c r="M11" i="4"/>
  <c r="Q10" i="4"/>
  <c r="O10" i="4"/>
  <c r="N10" i="4"/>
  <c r="M10" i="4"/>
  <c r="Q9" i="4"/>
  <c r="M9" i="4"/>
  <c r="Q8" i="4"/>
  <c r="Q7" i="4"/>
  <c r="O7" i="4"/>
  <c r="N7" i="4"/>
  <c r="M7" i="4"/>
  <c r="N6" i="4"/>
  <c r="M6" i="4"/>
  <c r="Q5" i="4"/>
  <c r="O5" i="4"/>
  <c r="A1" i="4"/>
  <c r="J36" i="3"/>
  <c r="Q6" i="4" s="1"/>
  <c r="H36" i="3"/>
  <c r="H35" i="5" s="1"/>
  <c r="G36" i="3"/>
  <c r="G35" i="5" s="1"/>
  <c r="F36" i="3"/>
  <c r="J35" i="3"/>
  <c r="I34" i="5" s="1"/>
  <c r="H35" i="3"/>
  <c r="H34" i="5" s="1"/>
  <c r="G35" i="3"/>
  <c r="G34" i="5" s="1"/>
  <c r="F35" i="3"/>
  <c r="K34" i="3"/>
  <c r="M34" i="3" s="1"/>
  <c r="N34" i="3" s="1"/>
  <c r="J34" i="3"/>
  <c r="I33" i="5" s="1"/>
  <c r="H34" i="3"/>
  <c r="H33" i="5" s="1"/>
  <c r="G34" i="3"/>
  <c r="G33" i="5" s="1"/>
  <c r="J33" i="3"/>
  <c r="Q226" i="4" s="1"/>
  <c r="H33" i="3"/>
  <c r="O226" i="4" s="1"/>
  <c r="G33" i="3"/>
  <c r="F33" i="3"/>
  <c r="J32" i="3"/>
  <c r="H32" i="3"/>
  <c r="H31" i="5" s="1"/>
  <c r="G32" i="3"/>
  <c r="G31" i="5" s="1"/>
  <c r="F32" i="3"/>
  <c r="J31" i="3"/>
  <c r="Q237" i="4" s="1"/>
  <c r="H31" i="3"/>
  <c r="O34" i="4" s="1"/>
  <c r="G31" i="3"/>
  <c r="N34" i="4" s="1"/>
  <c r="F31" i="3"/>
  <c r="K30" i="3"/>
  <c r="M30" i="3" s="1"/>
  <c r="N30" i="3" s="1"/>
  <c r="J30" i="3"/>
  <c r="Q39" i="4" s="1"/>
  <c r="T39" i="4" s="1"/>
  <c r="H30" i="3"/>
  <c r="O39" i="4" s="1"/>
  <c r="G30" i="3"/>
  <c r="J29" i="3"/>
  <c r="Q95" i="4" s="1"/>
  <c r="H29" i="3"/>
  <c r="O47" i="4" s="1"/>
  <c r="G29" i="3"/>
  <c r="N286" i="4" s="1"/>
  <c r="F29" i="3"/>
  <c r="J28" i="3"/>
  <c r="Q46" i="4" s="1"/>
  <c r="H28" i="3"/>
  <c r="O43" i="4" s="1"/>
  <c r="G28" i="3"/>
  <c r="N46" i="4" s="1"/>
  <c r="F28" i="3"/>
  <c r="J27" i="3"/>
  <c r="I26" i="5" s="1"/>
  <c r="H27" i="3"/>
  <c r="H26" i="5" s="1"/>
  <c r="G27" i="3"/>
  <c r="N97" i="4" s="1"/>
  <c r="F27" i="3"/>
  <c r="K26" i="3"/>
  <c r="M26" i="3" s="1"/>
  <c r="N26" i="3" s="1"/>
  <c r="J26" i="3"/>
  <c r="I25" i="5" s="1"/>
  <c r="H26" i="3"/>
  <c r="H25" i="5" s="1"/>
  <c r="G26" i="3"/>
  <c r="J25" i="3"/>
  <c r="H25" i="3"/>
  <c r="O22" i="4" s="1"/>
  <c r="G25" i="3"/>
  <c r="N36" i="4" s="1"/>
  <c r="J24" i="3"/>
  <c r="H24" i="3"/>
  <c r="O188" i="4" s="1"/>
  <c r="G24" i="3"/>
  <c r="N28" i="4" s="1"/>
  <c r="F24" i="3"/>
  <c r="J23" i="3"/>
  <c r="I22" i="5" s="1"/>
  <c r="H23" i="3"/>
  <c r="H22" i="5" s="1"/>
  <c r="G23" i="3"/>
  <c r="G22" i="5" s="1"/>
  <c r="K22" i="3"/>
  <c r="M22" i="3" s="1"/>
  <c r="N22" i="3" s="1"/>
  <c r="J22" i="3"/>
  <c r="I21" i="5" s="1"/>
  <c r="H22" i="3"/>
  <c r="H21" i="5" s="1"/>
  <c r="G22" i="3"/>
  <c r="G21" i="5" s="1"/>
  <c r="J21" i="3"/>
  <c r="Q305" i="4" s="1"/>
  <c r="H21" i="3"/>
  <c r="O107" i="4" s="1"/>
  <c r="G21" i="3"/>
  <c r="N305" i="4" s="1"/>
  <c r="F21" i="3"/>
  <c r="J20" i="3"/>
  <c r="I19" i="5" s="1"/>
  <c r="H20" i="3"/>
  <c r="H19" i="5" s="1"/>
  <c r="G20" i="3"/>
  <c r="G19" i="5" s="1"/>
  <c r="F20" i="3"/>
  <c r="J19" i="3"/>
  <c r="I18" i="5" s="1"/>
  <c r="H19" i="3"/>
  <c r="H18" i="5" s="1"/>
  <c r="G19" i="3"/>
  <c r="G18" i="5" s="1"/>
  <c r="K18" i="3"/>
  <c r="M18" i="3" s="1"/>
  <c r="N18" i="3" s="1"/>
  <c r="J18" i="3"/>
  <c r="Q230" i="4" s="1"/>
  <c r="H18" i="3"/>
  <c r="O230" i="4" s="1"/>
  <c r="G18" i="3"/>
  <c r="N230" i="4" s="1"/>
  <c r="J17" i="3"/>
  <c r="H17" i="3"/>
  <c r="H16" i="5" s="1"/>
  <c r="G17" i="3"/>
  <c r="G16" i="5" s="1"/>
  <c r="J16" i="3"/>
  <c r="I15" i="5" s="1"/>
  <c r="H16" i="3"/>
  <c r="H15" i="5" s="1"/>
  <c r="G16" i="3"/>
  <c r="G15" i="5" s="1"/>
  <c r="F16" i="3"/>
  <c r="J15" i="3"/>
  <c r="Q269" i="4" s="1"/>
  <c r="H15" i="3"/>
  <c r="O69" i="4" s="1"/>
  <c r="G15" i="3"/>
  <c r="N204" i="4" s="1"/>
  <c r="K14" i="3"/>
  <c r="M14" i="3" s="1"/>
  <c r="N14" i="3" s="1"/>
  <c r="J14" i="3"/>
  <c r="I13" i="5" s="1"/>
  <c r="H14" i="3"/>
  <c r="H13" i="5" s="1"/>
  <c r="G14" i="3"/>
  <c r="G13" i="5" s="1"/>
  <c r="J13" i="3"/>
  <c r="I12" i="5" s="1"/>
  <c r="H13" i="3"/>
  <c r="H12" i="5" s="1"/>
  <c r="G13" i="3"/>
  <c r="K13" i="3" s="1"/>
  <c r="F13" i="3"/>
  <c r="J12" i="3"/>
  <c r="I11" i="5" s="1"/>
  <c r="H12" i="3"/>
  <c r="H11" i="5" s="1"/>
  <c r="G12" i="3"/>
  <c r="K12" i="3" s="1"/>
  <c r="M12" i="3" s="1"/>
  <c r="N12" i="3" s="1"/>
  <c r="J11" i="3"/>
  <c r="H11" i="3"/>
  <c r="O9" i="4" s="1"/>
  <c r="G11" i="3"/>
  <c r="G10" i="5" s="1"/>
  <c r="F11" i="3"/>
  <c r="K10" i="3"/>
  <c r="M10" i="3" s="1"/>
  <c r="N10" i="3" s="1"/>
  <c r="J10" i="3"/>
  <c r="I9" i="5" s="1"/>
  <c r="H10" i="3"/>
  <c r="H9" i="5" s="1"/>
  <c r="G10" i="3"/>
  <c r="G9" i="5" s="1"/>
  <c r="J9" i="3"/>
  <c r="I8" i="5" s="1"/>
  <c r="H9" i="3"/>
  <c r="G9" i="3"/>
  <c r="G8" i="5" s="1"/>
  <c r="F9" i="3"/>
  <c r="J8" i="3"/>
  <c r="Q112" i="4" s="1"/>
  <c r="H8" i="3"/>
  <c r="H7" i="5" s="1"/>
  <c r="G8" i="3"/>
  <c r="N112" i="4" s="1"/>
  <c r="F8" i="3"/>
  <c r="J7" i="3"/>
  <c r="Q173" i="4" s="1"/>
  <c r="H7" i="3"/>
  <c r="O174" i="4" s="1"/>
  <c r="G7" i="3"/>
  <c r="N117" i="4" s="1"/>
  <c r="K6" i="3"/>
  <c r="J6" i="3"/>
  <c r="Q32" i="4" s="1"/>
  <c r="H6" i="3"/>
  <c r="O32" i="4" s="1"/>
  <c r="G6" i="3"/>
  <c r="N244" i="4" s="1"/>
  <c r="A1" i="3"/>
  <c r="A1" i="2"/>
  <c r="H15" i="1"/>
  <c r="H14" i="1"/>
  <c r="H13" i="1"/>
  <c r="E24" i="1"/>
  <c r="E23" i="1"/>
  <c r="E22" i="1"/>
  <c r="E21" i="1"/>
  <c r="E20" i="1"/>
  <c r="E19" i="1"/>
  <c r="E18" i="1"/>
  <c r="E17" i="1"/>
  <c r="E16" i="1"/>
  <c r="E15" i="1"/>
  <c r="E14" i="1"/>
  <c r="E13" i="1"/>
  <c r="B27" i="1"/>
  <c r="B26" i="1"/>
  <c r="B25" i="1"/>
  <c r="B24" i="1"/>
  <c r="B23" i="1"/>
  <c r="B22" i="1"/>
  <c r="B21" i="1"/>
  <c r="B20" i="1"/>
  <c r="E9" i="5" s="1"/>
  <c r="B19" i="1"/>
  <c r="B18" i="1"/>
  <c r="B17" i="1"/>
  <c r="M273" i="4" s="1"/>
  <c r="B16" i="1"/>
  <c r="B15" i="1"/>
  <c r="B14" i="1"/>
  <c r="E27" i="5" s="1"/>
  <c r="B13" i="1"/>
  <c r="T110" i="4" l="1"/>
  <c r="M13" i="3"/>
  <c r="N13" i="3" s="1"/>
  <c r="L13" i="3"/>
  <c r="R34" i="4"/>
  <c r="U34" i="4" s="1"/>
  <c r="V34" i="4" s="1"/>
  <c r="S16" i="4"/>
  <c r="T38" i="4"/>
  <c r="T84" i="4"/>
  <c r="L32" i="3"/>
  <c r="T16" i="4"/>
  <c r="S20" i="4"/>
  <c r="T305" i="4"/>
  <c r="R28" i="4"/>
  <c r="U28" i="4" s="1"/>
  <c r="U39" i="4"/>
  <c r="V39" i="4" s="1"/>
  <c r="S39" i="4"/>
  <c r="R97" i="4"/>
  <c r="U97" i="4" s="1"/>
  <c r="T20" i="4"/>
  <c r="U110" i="4"/>
  <c r="V110" i="4" s="1"/>
  <c r="R46" i="4"/>
  <c r="U46" i="4" s="1"/>
  <c r="V46" i="4" s="1"/>
  <c r="U105" i="4"/>
  <c r="S105" i="4"/>
  <c r="Q30" i="4"/>
  <c r="Q52" i="4"/>
  <c r="Q67" i="4"/>
  <c r="N71" i="4"/>
  <c r="O124" i="4"/>
  <c r="M157" i="4"/>
  <c r="N163" i="4"/>
  <c r="M196" i="4"/>
  <c r="O211" i="4"/>
  <c r="N228" i="4"/>
  <c r="M237" i="4"/>
  <c r="O270" i="4"/>
  <c r="L6" i="3"/>
  <c r="L10" i="3"/>
  <c r="L14" i="3"/>
  <c r="L18" i="3"/>
  <c r="L22" i="3"/>
  <c r="L26" i="3"/>
  <c r="L30" i="3"/>
  <c r="L34" i="3"/>
  <c r="N9" i="4"/>
  <c r="N45" i="4"/>
  <c r="O71" i="4"/>
  <c r="M75" i="4"/>
  <c r="R75" i="4" s="1"/>
  <c r="R84" i="4"/>
  <c r="U84" i="4" s="1"/>
  <c r="V84" i="4" s="1"/>
  <c r="M119" i="4"/>
  <c r="Q124" i="4"/>
  <c r="M129" i="4"/>
  <c r="O146" i="4"/>
  <c r="O163" i="4"/>
  <c r="M170" i="4"/>
  <c r="M190" i="4"/>
  <c r="Q196" i="4"/>
  <c r="Q211" i="4"/>
  <c r="O237" i="4"/>
  <c r="N245" i="4"/>
  <c r="N262" i="4"/>
  <c r="Q270" i="4"/>
  <c r="N280" i="4"/>
  <c r="N291" i="4"/>
  <c r="M6" i="3"/>
  <c r="R23" i="4"/>
  <c r="U23" i="4" s="1"/>
  <c r="V23" i="4" s="1"/>
  <c r="M27" i="4"/>
  <c r="R27" i="4" s="1"/>
  <c r="O45" i="4"/>
  <c r="M60" i="4"/>
  <c r="R60" i="4" s="1"/>
  <c r="Q71" i="4"/>
  <c r="N119" i="4"/>
  <c r="O129" i="4"/>
  <c r="Q146" i="4"/>
  <c r="Q163" i="4"/>
  <c r="N170" i="4"/>
  <c r="M184" i="4"/>
  <c r="O229" i="4"/>
  <c r="Q245" i="4"/>
  <c r="M253" i="4"/>
  <c r="O262" i="4"/>
  <c r="Q291" i="4"/>
  <c r="O303" i="4"/>
  <c r="M317" i="4"/>
  <c r="O75" i="4"/>
  <c r="S79" i="4"/>
  <c r="Q119" i="4"/>
  <c r="Q129" i="4"/>
  <c r="M135" i="4"/>
  <c r="M152" i="4"/>
  <c r="M158" i="4"/>
  <c r="M177" i="4"/>
  <c r="N184" i="4"/>
  <c r="M204" i="4"/>
  <c r="R204" i="4" s="1"/>
  <c r="Q262" i="4"/>
  <c r="O30" i="4"/>
  <c r="F15" i="3"/>
  <c r="F19" i="3"/>
  <c r="F23" i="3"/>
  <c r="M13" i="4"/>
  <c r="O27" i="4"/>
  <c r="N49" i="4"/>
  <c r="R56" i="4"/>
  <c r="U56" i="4" s="1"/>
  <c r="V56" i="4" s="1"/>
  <c r="M64" i="4"/>
  <c r="Q75" i="4"/>
  <c r="O79" i="4"/>
  <c r="N106" i="4"/>
  <c r="M115" i="4"/>
  <c r="O135" i="4"/>
  <c r="M147" i="4"/>
  <c r="O152" i="4"/>
  <c r="O158" i="4"/>
  <c r="N177" i="4"/>
  <c r="O184" i="4"/>
  <c r="N254" i="4"/>
  <c r="M305" i="4"/>
  <c r="O319" i="4"/>
  <c r="N273" i="4"/>
  <c r="N241" i="4"/>
  <c r="N196" i="4"/>
  <c r="N269" i="4"/>
  <c r="N308" i="4"/>
  <c r="N276" i="4"/>
  <c r="N158" i="4"/>
  <c r="N265" i="4"/>
  <c r="N233" i="4"/>
  <c r="N272" i="4"/>
  <c r="N240" i="4"/>
  <c r="N195" i="4"/>
  <c r="N311" i="4"/>
  <c r="N279" i="4"/>
  <c r="N202" i="4"/>
  <c r="N147" i="4"/>
  <c r="N293" i="4"/>
  <c r="N161" i="4"/>
  <c r="N268" i="4"/>
  <c r="N307" i="4"/>
  <c r="N275" i="4"/>
  <c r="N198" i="4"/>
  <c r="N205" i="4"/>
  <c r="N150" i="4"/>
  <c r="N157" i="4"/>
  <c r="N271" i="4"/>
  <c r="N239" i="4"/>
  <c r="N278" i="4"/>
  <c r="N201" i="4"/>
  <c r="G14" i="5"/>
  <c r="N208" i="4"/>
  <c r="N153" i="4"/>
  <c r="N270" i="4"/>
  <c r="N193" i="4"/>
  <c r="N207" i="4"/>
  <c r="N152" i="4"/>
  <c r="G26" i="5"/>
  <c r="N103" i="4"/>
  <c r="N92" i="4"/>
  <c r="N48" i="4"/>
  <c r="N237" i="4"/>
  <c r="N258" i="4"/>
  <c r="N261" i="4"/>
  <c r="N257" i="4"/>
  <c r="N123" i="4"/>
  <c r="G30" i="5"/>
  <c r="N267" i="4"/>
  <c r="N235" i="4"/>
  <c r="N306" i="4"/>
  <c r="N238" i="4"/>
  <c r="N266" i="4"/>
  <c r="N234" i="4"/>
  <c r="N13" i="4"/>
  <c r="Q27" i="4"/>
  <c r="O49" i="4"/>
  <c r="O97" i="4"/>
  <c r="R101" i="4"/>
  <c r="S101" i="4" s="1"/>
  <c r="O106" i="4"/>
  <c r="N115" i="4"/>
  <c r="Q135" i="4"/>
  <c r="O147" i="4"/>
  <c r="Q152" i="4"/>
  <c r="Q158" i="4"/>
  <c r="M164" i="4"/>
  <c r="O177" i="4"/>
  <c r="Q184" i="4"/>
  <c r="M197" i="4"/>
  <c r="O204" i="4"/>
  <c r="O213" i="4"/>
  <c r="M238" i="4"/>
  <c r="O271" i="4"/>
  <c r="M281" i="4"/>
  <c r="R176" i="4"/>
  <c r="U176" i="4" s="1"/>
  <c r="V176" i="4" s="1"/>
  <c r="R211" i="4"/>
  <c r="U211" i="4" s="1"/>
  <c r="V211" i="4" s="1"/>
  <c r="O312" i="4"/>
  <c r="O258" i="4"/>
  <c r="O257" i="4"/>
  <c r="H30" i="5"/>
  <c r="O137" i="4"/>
  <c r="O306" i="4"/>
  <c r="O227" i="4"/>
  <c r="O136" i="4"/>
  <c r="O13" i="4"/>
  <c r="M31" i="4"/>
  <c r="R31" i="4" s="1"/>
  <c r="Q49" i="4"/>
  <c r="O64" i="4"/>
  <c r="M68" i="4"/>
  <c r="R68" i="4" s="1"/>
  <c r="R79" i="4"/>
  <c r="U79" i="4" s="1"/>
  <c r="V79" i="4" s="1"/>
  <c r="N93" i="4"/>
  <c r="Q97" i="4"/>
  <c r="T97" i="4" s="1"/>
  <c r="O115" i="4"/>
  <c r="M125" i="4"/>
  <c r="M141" i="4"/>
  <c r="Q147" i="4"/>
  <c r="U164" i="4"/>
  <c r="V164" i="4" s="1"/>
  <c r="T164" i="4"/>
  <c r="M191" i="4"/>
  <c r="N197" i="4"/>
  <c r="Q213" i="4"/>
  <c r="O238" i="4"/>
  <c r="N263" i="4"/>
  <c r="N281" i="4"/>
  <c r="N292" i="4"/>
  <c r="N320" i="4"/>
  <c r="Q261" i="4"/>
  <c r="Q138" i="4"/>
  <c r="Q62" i="4"/>
  <c r="Q257" i="4"/>
  <c r="I30" i="5"/>
  <c r="Q137" i="4"/>
  <c r="Q267" i="4"/>
  <c r="Q235" i="4"/>
  <c r="Q266" i="4"/>
  <c r="Q234" i="4"/>
  <c r="Q312" i="4"/>
  <c r="O6" i="4"/>
  <c r="Q13" i="4"/>
  <c r="M24" i="4"/>
  <c r="R24" i="4" s="1"/>
  <c r="R38" i="4"/>
  <c r="U38" i="4" s="1"/>
  <c r="V38" i="4" s="1"/>
  <c r="N42" i="4"/>
  <c r="N53" i="4"/>
  <c r="Q64" i="4"/>
  <c r="N85" i="4"/>
  <c r="N89" i="4"/>
  <c r="O93" i="4"/>
  <c r="M111" i="4"/>
  <c r="Q115" i="4"/>
  <c r="Q120" i="4"/>
  <c r="N125" i="4"/>
  <c r="M171" i="4"/>
  <c r="Q197" i="4"/>
  <c r="Q238" i="4"/>
  <c r="Q246" i="4"/>
  <c r="M255" i="4"/>
  <c r="O263" i="4"/>
  <c r="O281" i="4"/>
  <c r="O320" i="4"/>
  <c r="H12" i="7"/>
  <c r="I8" i="7"/>
  <c r="O301" i="4"/>
  <c r="H17" i="5"/>
  <c r="O236" i="4"/>
  <c r="O260" i="4"/>
  <c r="K7" i="3"/>
  <c r="M7" i="3" s="1"/>
  <c r="N7" i="3" s="1"/>
  <c r="K11" i="3"/>
  <c r="M11" i="3" s="1"/>
  <c r="N11" i="3" s="1"/>
  <c r="K15" i="3"/>
  <c r="M15" i="3" s="1"/>
  <c r="N15" i="3" s="1"/>
  <c r="K19" i="3"/>
  <c r="M19" i="3" s="1"/>
  <c r="N19" i="3" s="1"/>
  <c r="K23" i="3"/>
  <c r="M23" i="3" s="1"/>
  <c r="N23" i="3" s="1"/>
  <c r="K27" i="3"/>
  <c r="M27" i="3" s="1"/>
  <c r="N27" i="3" s="1"/>
  <c r="K31" i="3"/>
  <c r="M31" i="3" s="1"/>
  <c r="N31" i="3" s="1"/>
  <c r="K35" i="3"/>
  <c r="O31" i="4"/>
  <c r="O42" i="4"/>
  <c r="O53" i="4"/>
  <c r="R64" i="4"/>
  <c r="U64" i="4" s="1"/>
  <c r="V64" i="4" s="1"/>
  <c r="O68" i="4"/>
  <c r="M72" i="4"/>
  <c r="O85" i="4"/>
  <c r="O89" i="4"/>
  <c r="N111" i="4"/>
  <c r="O125" i="4"/>
  <c r="M130" i="4"/>
  <c r="N171" i="4"/>
  <c r="M178" i="4"/>
  <c r="N185" i="4"/>
  <c r="M247" i="4"/>
  <c r="N255" i="4"/>
  <c r="Q263" i="4"/>
  <c r="O293" i="4"/>
  <c r="C15" i="8"/>
  <c r="B15" i="8" s="1"/>
  <c r="J30" i="7"/>
  <c r="J33" i="7" s="1"/>
  <c r="M20" i="4"/>
  <c r="R20" i="4" s="1"/>
  <c r="U20" i="4" s="1"/>
  <c r="V20" i="4" s="1"/>
  <c r="L23" i="3"/>
  <c r="R6" i="4"/>
  <c r="U6" i="4" s="1"/>
  <c r="V6" i="4" s="1"/>
  <c r="N17" i="4"/>
  <c r="Q31" i="4"/>
  <c r="T31" i="4" s="1"/>
  <c r="Q42" i="4"/>
  <c r="Q53" i="4"/>
  <c r="Q68" i="4"/>
  <c r="N72" i="4"/>
  <c r="M102" i="4"/>
  <c r="O111" i="4"/>
  <c r="Q125" i="4"/>
  <c r="Q130" i="4"/>
  <c r="T141" i="4"/>
  <c r="O171" i="4"/>
  <c r="N178" i="4"/>
  <c r="O185" i="4"/>
  <c r="N206" i="4"/>
  <c r="M223" i="4"/>
  <c r="O255" i="4"/>
  <c r="Q294" i="4"/>
  <c r="M306" i="4"/>
  <c r="M321" i="4"/>
  <c r="Q301" i="4"/>
  <c r="I17" i="5"/>
  <c r="Q229" i="4"/>
  <c r="Q260" i="4"/>
  <c r="C6" i="10"/>
  <c r="K6" i="10" s="1"/>
  <c r="C8" i="10"/>
  <c r="K8" i="10" s="1"/>
  <c r="L8" i="10" s="1"/>
  <c r="C7" i="10"/>
  <c r="K7" i="10" s="1"/>
  <c r="L7" i="10" s="1"/>
  <c r="O17" i="4"/>
  <c r="N35" i="4"/>
  <c r="N57" i="4"/>
  <c r="O72" i="4"/>
  <c r="O76" i="4"/>
  <c r="O80" i="4"/>
  <c r="M107" i="4"/>
  <c r="Q111" i="4"/>
  <c r="M136" i="4"/>
  <c r="M142" i="4"/>
  <c r="M153" i="4"/>
  <c r="M159" i="4"/>
  <c r="T165" i="4"/>
  <c r="O178" i="4"/>
  <c r="Q185" i="4"/>
  <c r="O206" i="4"/>
  <c r="N214" i="4"/>
  <c r="N223" i="4"/>
  <c r="N231" i="4"/>
  <c r="Q306" i="4"/>
  <c r="M298" i="4"/>
  <c r="M280" i="4"/>
  <c r="M262" i="4"/>
  <c r="E18" i="5"/>
  <c r="M308" i="4"/>
  <c r="M276" i="4"/>
  <c r="M315" i="4"/>
  <c r="M283" i="4"/>
  <c r="M206" i="4"/>
  <c r="M173" i="4"/>
  <c r="M151" i="4"/>
  <c r="M128" i="4"/>
  <c r="M297" i="4"/>
  <c r="M265" i="4"/>
  <c r="M233" i="4"/>
  <c r="M304" i="4"/>
  <c r="M272" i="4"/>
  <c r="M240" i="4"/>
  <c r="M195" i="4"/>
  <c r="M117" i="4"/>
  <c r="R117" i="4" s="1"/>
  <c r="M311" i="4"/>
  <c r="M209" i="4"/>
  <c r="M176" i="4"/>
  <c r="M165" i="4"/>
  <c r="M154" i="4"/>
  <c r="E24" i="5"/>
  <c r="E16" i="5"/>
  <c r="M293" i="4"/>
  <c r="M161" i="4"/>
  <c r="M300" i="4"/>
  <c r="M268" i="4"/>
  <c r="M69" i="4"/>
  <c r="M307" i="4"/>
  <c r="M275" i="4"/>
  <c r="M243" i="4"/>
  <c r="M198" i="4"/>
  <c r="M120" i="4"/>
  <c r="M76" i="4"/>
  <c r="M282" i="4"/>
  <c r="M205" i="4"/>
  <c r="M172" i="4"/>
  <c r="M150" i="4"/>
  <c r="M127" i="4"/>
  <c r="M296" i="4"/>
  <c r="M264" i="4"/>
  <c r="M232" i="4"/>
  <c r="M303" i="4"/>
  <c r="M271" i="4"/>
  <c r="M239" i="4"/>
  <c r="M194" i="4"/>
  <c r="M278" i="4"/>
  <c r="M246" i="4"/>
  <c r="M201" i="4"/>
  <c r="M228" i="4"/>
  <c r="M160" i="4"/>
  <c r="M299" i="4"/>
  <c r="M263" i="4"/>
  <c r="M231" i="4"/>
  <c r="M163" i="4"/>
  <c r="M309" i="4"/>
  <c r="M277" i="4"/>
  <c r="M245" i="4"/>
  <c r="M200" i="4"/>
  <c r="M145" i="4"/>
  <c r="M316" i="4"/>
  <c r="H10" i="5"/>
  <c r="O109" i="4"/>
  <c r="Q17" i="4"/>
  <c r="O35" i="4"/>
  <c r="O46" i="4"/>
  <c r="O57" i="4"/>
  <c r="M61" i="4"/>
  <c r="R61" i="4" s="1"/>
  <c r="Q72" i="4"/>
  <c r="Q76" i="4"/>
  <c r="N107" i="4"/>
  <c r="M121" i="4"/>
  <c r="M131" i="4"/>
  <c r="N136" i="4"/>
  <c r="U142" i="4"/>
  <c r="V142" i="4" s="1"/>
  <c r="T142" i="4"/>
  <c r="M148" i="4"/>
  <c r="Q153" i="4"/>
  <c r="N159" i="4"/>
  <c r="M166" i="4"/>
  <c r="Q178" i="4"/>
  <c r="M199" i="4"/>
  <c r="Q214" i="4"/>
  <c r="O223" i="4"/>
  <c r="O231" i="4"/>
  <c r="O239" i="4"/>
  <c r="N264" i="4"/>
  <c r="Q273" i="4"/>
  <c r="Q35" i="4"/>
  <c r="M50" i="4"/>
  <c r="R50" i="4" s="1"/>
  <c r="Q57" i="4"/>
  <c r="N131" i="4"/>
  <c r="Q136" i="4"/>
  <c r="N148" i="4"/>
  <c r="Q159" i="4"/>
  <c r="N166" i="4"/>
  <c r="M192" i="4"/>
  <c r="N199" i="4"/>
  <c r="Q231" i="4"/>
  <c r="M248" i="4"/>
  <c r="M256" i="4"/>
  <c r="N295" i="4"/>
  <c r="E5" i="5"/>
  <c r="I10" i="5"/>
  <c r="Q109" i="4"/>
  <c r="N294" i="4"/>
  <c r="N180" i="4"/>
  <c r="N187" i="4"/>
  <c r="N183" i="4"/>
  <c r="G23" i="5"/>
  <c r="N179" i="4"/>
  <c r="N310" i="4"/>
  <c r="N188" i="4"/>
  <c r="G27" i="5"/>
  <c r="N102" i="4"/>
  <c r="N91" i="4"/>
  <c r="R10" i="4"/>
  <c r="U10" i="4" s="1"/>
  <c r="V10" i="4" s="1"/>
  <c r="M14" i="4"/>
  <c r="R14" i="4" s="1"/>
  <c r="U14" i="4" s="1"/>
  <c r="N21" i="4"/>
  <c r="O28" i="4"/>
  <c r="O61" i="4"/>
  <c r="N98" i="4"/>
  <c r="N116" i="4"/>
  <c r="O121" i="4"/>
  <c r="Q131" i="4"/>
  <c r="M143" i="4"/>
  <c r="Q148" i="4"/>
  <c r="N154" i="4"/>
  <c r="O166" i="4"/>
  <c r="M186" i="4"/>
  <c r="N192" i="4"/>
  <c r="O199" i="4"/>
  <c r="N248" i="4"/>
  <c r="N256" i="4"/>
  <c r="M284" i="4"/>
  <c r="O295" i="4"/>
  <c r="G5" i="5"/>
  <c r="O21" i="4"/>
  <c r="Q28" i="4"/>
  <c r="T28" i="4" s="1"/>
  <c r="O50" i="4"/>
  <c r="M94" i="4"/>
  <c r="M103" i="4"/>
  <c r="O116" i="4"/>
  <c r="Q121" i="4"/>
  <c r="T121" i="4" s="1"/>
  <c r="Q154" i="4"/>
  <c r="Q166" i="4"/>
  <c r="M179" i="4"/>
  <c r="N186" i="4"/>
  <c r="O192" i="4"/>
  <c r="Q199" i="4"/>
  <c r="M207" i="4"/>
  <c r="M224" i="4"/>
  <c r="O256" i="4"/>
  <c r="O284" i="4"/>
  <c r="Q295" i="4"/>
  <c r="E6" i="5"/>
  <c r="Q102" i="4"/>
  <c r="I27" i="5"/>
  <c r="Q255" i="4"/>
  <c r="Q223" i="4"/>
  <c r="I35" i="5"/>
  <c r="O14" i="4"/>
  <c r="Q21" i="4"/>
  <c r="M32" i="4"/>
  <c r="Q50" i="4"/>
  <c r="O65" i="4"/>
  <c r="S65" i="4" s="1"/>
  <c r="N69" i="4"/>
  <c r="M86" i="4"/>
  <c r="M90" i="4"/>
  <c r="N94" i="4"/>
  <c r="O103" i="4"/>
  <c r="R121" i="4"/>
  <c r="U121" i="4" s="1"/>
  <c r="M126" i="4"/>
  <c r="N173" i="4"/>
  <c r="Q192" i="4"/>
  <c r="O207" i="4"/>
  <c r="N224" i="4"/>
  <c r="N232" i="4"/>
  <c r="Q256" i="4"/>
  <c r="M274" i="4"/>
  <c r="N309" i="4"/>
  <c r="E7" i="5"/>
  <c r="K8" i="3"/>
  <c r="M8" i="3" s="1"/>
  <c r="N8" i="3" s="1"/>
  <c r="K16" i="3"/>
  <c r="M16" i="3" s="1"/>
  <c r="N16" i="3" s="1"/>
  <c r="K24" i="3"/>
  <c r="M24" i="3" s="1"/>
  <c r="N24" i="3" s="1"/>
  <c r="K28" i="3"/>
  <c r="M28" i="3" s="1"/>
  <c r="N28" i="3" s="1"/>
  <c r="K32" i="3"/>
  <c r="M32" i="3" s="1"/>
  <c r="N32" i="3" s="1"/>
  <c r="K36" i="3"/>
  <c r="M36" i="3" s="1"/>
  <c r="N36" i="3" s="1"/>
  <c r="Q14" i="4"/>
  <c r="T14" i="4" s="1"/>
  <c r="N43" i="4"/>
  <c r="N54" i="4"/>
  <c r="Q65" i="4"/>
  <c r="T65" i="4" s="1"/>
  <c r="M77" i="4"/>
  <c r="R77" i="4" s="1"/>
  <c r="N86" i="4"/>
  <c r="N90" i="4"/>
  <c r="O94" i="4"/>
  <c r="Q103" i="4"/>
  <c r="M112" i="4"/>
  <c r="R112" i="4" s="1"/>
  <c r="N126" i="4"/>
  <c r="O173" i="4"/>
  <c r="O180" i="4"/>
  <c r="Q187" i="4"/>
  <c r="N215" i="4"/>
  <c r="O224" i="4"/>
  <c r="N274" i="4"/>
  <c r="N296" i="4"/>
  <c r="Q309" i="4"/>
  <c r="E11" i="5"/>
  <c r="O203" i="4"/>
  <c r="S203" i="4" s="1"/>
  <c r="O148" i="4"/>
  <c r="O308" i="4"/>
  <c r="O276" i="4"/>
  <c r="O265" i="4"/>
  <c r="O233" i="4"/>
  <c r="O272" i="4"/>
  <c r="O240" i="4"/>
  <c r="O195" i="4"/>
  <c r="O311" i="4"/>
  <c r="O279" i="4"/>
  <c r="O202" i="4"/>
  <c r="O209" i="4"/>
  <c r="O154" i="4"/>
  <c r="O268" i="4"/>
  <c r="O307" i="4"/>
  <c r="O275" i="4"/>
  <c r="O198" i="4"/>
  <c r="O205" i="4"/>
  <c r="O150" i="4"/>
  <c r="O157" i="4"/>
  <c r="O264" i="4"/>
  <c r="O232" i="4"/>
  <c r="O278" i="4"/>
  <c r="H14" i="5"/>
  <c r="O208" i="4"/>
  <c r="O153" i="4"/>
  <c r="O160" i="4"/>
  <c r="O274" i="4"/>
  <c r="O197" i="4"/>
  <c r="O313" i="4"/>
  <c r="O309" i="4"/>
  <c r="O277" i="4"/>
  <c r="O200" i="4"/>
  <c r="O159" i="4"/>
  <c r="O273" i="4"/>
  <c r="O241" i="4"/>
  <c r="O196" i="4"/>
  <c r="Q94" i="4"/>
  <c r="O126" i="4"/>
  <c r="Q180" i="4"/>
  <c r="Q224" i="4"/>
  <c r="Q233" i="4"/>
  <c r="M241" i="4"/>
  <c r="M249" i="4"/>
  <c r="M257" i="4"/>
  <c r="O266" i="4"/>
  <c r="Q274" i="4"/>
  <c r="G12" i="5"/>
  <c r="Q322" i="4"/>
  <c r="Q314" i="4"/>
  <c r="I29" i="5"/>
  <c r="F12" i="3"/>
  <c r="R7" i="4"/>
  <c r="U7" i="4" s="1"/>
  <c r="V7" i="4" s="1"/>
  <c r="N18" i="4"/>
  <c r="O25" i="4"/>
  <c r="M36" i="4"/>
  <c r="R36" i="4" s="1"/>
  <c r="Q43" i="4"/>
  <c r="M47" i="4"/>
  <c r="M58" i="4"/>
  <c r="Q73" i="4"/>
  <c r="O77" i="4"/>
  <c r="Q86" i="4"/>
  <c r="Q90" i="4"/>
  <c r="N99" i="4"/>
  <c r="O112" i="4"/>
  <c r="O117" i="4"/>
  <c r="M132" i="4"/>
  <c r="N137" i="4"/>
  <c r="M144" i="4"/>
  <c r="M149" i="4"/>
  <c r="N160" i="4"/>
  <c r="M193" i="4"/>
  <c r="N200" i="4"/>
  <c r="O216" i="4"/>
  <c r="Q241" i="4"/>
  <c r="N249" i="4"/>
  <c r="E13" i="5"/>
  <c r="N135" i="4"/>
  <c r="N172" i="4"/>
  <c r="N127" i="4"/>
  <c r="N134" i="4"/>
  <c r="G6" i="5"/>
  <c r="N175" i="4"/>
  <c r="N130" i="4"/>
  <c r="N174" i="4"/>
  <c r="N129" i="4"/>
  <c r="K20" i="3"/>
  <c r="M20" i="3" s="1"/>
  <c r="N20" i="3" s="1"/>
  <c r="N11" i="4"/>
  <c r="O18" i="4"/>
  <c r="Q25" i="4"/>
  <c r="T25" i="4" s="1"/>
  <c r="R32" i="4"/>
  <c r="U32" i="4" s="1"/>
  <c r="V32" i="4" s="1"/>
  <c r="N47" i="4"/>
  <c r="N58" i="4"/>
  <c r="M62" i="4"/>
  <c r="Q99" i="4"/>
  <c r="M108" i="4"/>
  <c r="N132" i="4"/>
  <c r="N144" i="4"/>
  <c r="N149" i="4"/>
  <c r="M155" i="4"/>
  <c r="N167" i="4"/>
  <c r="O193" i="4"/>
  <c r="Q200" i="4"/>
  <c r="M225" i="4"/>
  <c r="O249" i="4"/>
  <c r="Q258" i="4"/>
  <c r="M285" i="4"/>
  <c r="O298" i="4"/>
  <c r="O52" i="4"/>
  <c r="L12" i="3"/>
  <c r="O73" i="4"/>
  <c r="F25" i="3"/>
  <c r="O11" i="4"/>
  <c r="R25" i="4"/>
  <c r="U25" i="4" s="1"/>
  <c r="M29" i="4"/>
  <c r="O36" i="4"/>
  <c r="O58" i="4"/>
  <c r="N62" i="4"/>
  <c r="M66" i="4"/>
  <c r="N108" i="4"/>
  <c r="M122" i="4"/>
  <c r="O132" i="4"/>
  <c r="O144" i="4"/>
  <c r="O149" i="4"/>
  <c r="N155" i="4"/>
  <c r="Q167" i="4"/>
  <c r="Q193" i="4"/>
  <c r="M208" i="4"/>
  <c r="Q276" i="4"/>
  <c r="Q310" i="4"/>
  <c r="E14" i="5"/>
  <c r="Q315" i="4"/>
  <c r="Q283" i="4"/>
  <c r="Q247" i="4"/>
  <c r="Q243" i="4"/>
  <c r="Q282" i="4"/>
  <c r="Q285" i="4"/>
  <c r="Q228" i="4"/>
  <c r="I5" i="5"/>
  <c r="Q281" i="4"/>
  <c r="Q316" i="4"/>
  <c r="Q284" i="4"/>
  <c r="Q298" i="4"/>
  <c r="Q280" i="4"/>
  <c r="Q248" i="4"/>
  <c r="N113" i="4"/>
  <c r="G7" i="5"/>
  <c r="N226" i="4"/>
  <c r="G32" i="5"/>
  <c r="N225" i="4"/>
  <c r="Q11" i="4"/>
  <c r="M22" i="4"/>
  <c r="M40" i="4"/>
  <c r="M51" i="4"/>
  <c r="O62" i="4"/>
  <c r="N66" i="4"/>
  <c r="O108" i="4"/>
  <c r="N122" i="4"/>
  <c r="N138" i="4"/>
  <c r="Q144" i="4"/>
  <c r="O155" i="4"/>
  <c r="O161" i="4"/>
  <c r="M174" i="4"/>
  <c r="N217" i="4"/>
  <c r="N312" i="4"/>
  <c r="E15" i="5"/>
  <c r="O280" i="4"/>
  <c r="O248" i="4"/>
  <c r="O244" i="4"/>
  <c r="O315" i="4"/>
  <c r="O283" i="4"/>
  <c r="O247" i="4"/>
  <c r="O243" i="4"/>
  <c r="O120" i="4"/>
  <c r="O282" i="4"/>
  <c r="O246" i="4"/>
  <c r="O285" i="4"/>
  <c r="O228" i="4"/>
  <c r="O242" i="4"/>
  <c r="H5" i="5"/>
  <c r="O245" i="4"/>
  <c r="I7" i="5"/>
  <c r="Q116" i="4"/>
  <c r="N297" i="4"/>
  <c r="N304" i="4"/>
  <c r="G24" i="5"/>
  <c r="N300" i="4"/>
  <c r="N303" i="4"/>
  <c r="N299" i="4"/>
  <c r="N302" i="4"/>
  <c r="O170" i="4"/>
  <c r="O290" i="4"/>
  <c r="O318" i="4"/>
  <c r="O286" i="4"/>
  <c r="O254" i="4"/>
  <c r="O99" i="4"/>
  <c r="O55" i="4"/>
  <c r="O250" i="4"/>
  <c r="O95" i="4"/>
  <c r="O321" i="4"/>
  <c r="O289" i="4"/>
  <c r="O212" i="4"/>
  <c r="O317" i="4"/>
  <c r="O253" i="4"/>
  <c r="O98" i="4"/>
  <c r="O292" i="4"/>
  <c r="O215" i="4"/>
  <c r="H28" i="5"/>
  <c r="O167" i="4"/>
  <c r="O291" i="4"/>
  <c r="O214" i="4"/>
  <c r="M15" i="4"/>
  <c r="N22" i="4"/>
  <c r="O29" i="4"/>
  <c r="N40" i="4"/>
  <c r="N51" i="4"/>
  <c r="O66" i="4"/>
  <c r="M70" i="4"/>
  <c r="M104" i="4"/>
  <c r="Q108" i="4"/>
  <c r="O113" i="4"/>
  <c r="O122" i="4"/>
  <c r="O138" i="4"/>
  <c r="N181" i="4"/>
  <c r="N209" i="4"/>
  <c r="O217" i="4"/>
  <c r="O234" i="4"/>
  <c r="M242" i="4"/>
  <c r="M267" i="4"/>
  <c r="O287" i="4"/>
  <c r="E19" i="5"/>
  <c r="L36" i="3"/>
  <c r="N319" i="4"/>
  <c r="N287" i="4"/>
  <c r="N290" i="4"/>
  <c r="N213" i="4"/>
  <c r="N169" i="4"/>
  <c r="N80" i="4"/>
  <c r="N318" i="4"/>
  <c r="N216" i="4"/>
  <c r="N88" i="4"/>
  <c r="N250" i="4"/>
  <c r="N95" i="4"/>
  <c r="N321" i="4"/>
  <c r="N289" i="4"/>
  <c r="N212" i="4"/>
  <c r="N168" i="4"/>
  <c r="N317" i="4"/>
  <c r="N253" i="4"/>
  <c r="N252" i="4"/>
  <c r="O110" i="4"/>
  <c r="S110" i="4" s="1"/>
  <c r="H8" i="5"/>
  <c r="O259" i="4"/>
  <c r="H20" i="5"/>
  <c r="O305" i="4"/>
  <c r="H32" i="5"/>
  <c r="O225" i="4"/>
  <c r="I16" i="5"/>
  <c r="Q58" i="4"/>
  <c r="Q106" i="4"/>
  <c r="I20" i="5"/>
  <c r="Q297" i="4"/>
  <c r="Q304" i="4"/>
  <c r="I24" i="5"/>
  <c r="Q296" i="4"/>
  <c r="Q303" i="4"/>
  <c r="Q105" i="4"/>
  <c r="T105" i="4" s="1"/>
  <c r="Q299" i="4"/>
  <c r="Q319" i="4"/>
  <c r="Q287" i="4"/>
  <c r="Q251" i="4"/>
  <c r="Q290" i="4"/>
  <c r="Q169" i="4"/>
  <c r="Q318" i="4"/>
  <c r="Q286" i="4"/>
  <c r="Q254" i="4"/>
  <c r="Q216" i="4"/>
  <c r="Q250" i="4"/>
  <c r="Q321" i="4"/>
  <c r="Q289" i="4"/>
  <c r="Q212" i="4"/>
  <c r="Q317" i="4"/>
  <c r="Q253" i="4"/>
  <c r="Q292" i="4"/>
  <c r="Q215" i="4"/>
  <c r="Q249" i="4"/>
  <c r="Q171" i="4"/>
  <c r="Q320" i="4"/>
  <c r="I28" i="5"/>
  <c r="Q252" i="4"/>
  <c r="I32" i="5"/>
  <c r="Q225" i="4"/>
  <c r="M8" i="4"/>
  <c r="N15" i="4"/>
  <c r="Q29" i="4"/>
  <c r="T29" i="4" s="1"/>
  <c r="O40" i="4"/>
  <c r="O51" i="4"/>
  <c r="Q66" i="4"/>
  <c r="N70" i="4"/>
  <c r="M83" i="4"/>
  <c r="N104" i="4"/>
  <c r="Q113" i="4"/>
  <c r="Q122" i="4"/>
  <c r="Q181" i="4"/>
  <c r="Q217" i="4"/>
  <c r="N242" i="4"/>
  <c r="N251" i="4"/>
  <c r="N259" i="4"/>
  <c r="O267" i="4"/>
  <c r="G20" i="5"/>
  <c r="O102" i="4"/>
  <c r="H27" i="5"/>
  <c r="R305" i="4"/>
  <c r="U305" i="4" s="1"/>
  <c r="V305" i="4" s="1"/>
  <c r="O297" i="4"/>
  <c r="O304" i="4"/>
  <c r="H24" i="5"/>
  <c r="O300" i="4"/>
  <c r="O296" i="4"/>
  <c r="K9" i="3"/>
  <c r="K17" i="3"/>
  <c r="K21" i="3"/>
  <c r="K25" i="3"/>
  <c r="K29" i="3"/>
  <c r="K33" i="3"/>
  <c r="N8" i="4"/>
  <c r="O15" i="4"/>
  <c r="R29" i="4"/>
  <c r="U29" i="4" s="1"/>
  <c r="M33" i="4"/>
  <c r="Q40" i="4"/>
  <c r="M44" i="4"/>
  <c r="Q51" i="4"/>
  <c r="M55" i="4"/>
  <c r="O70" i="4"/>
  <c r="M74" i="4"/>
  <c r="N83" i="4"/>
  <c r="M87" i="4"/>
  <c r="M91" i="4"/>
  <c r="M100" i="4"/>
  <c r="O104" i="4"/>
  <c r="M118" i="4"/>
  <c r="N194" i="4"/>
  <c r="O201" i="4"/>
  <c r="Q242" i="4"/>
  <c r="O251" i="4"/>
  <c r="Q259" i="4"/>
  <c r="N277" i="4"/>
  <c r="O299" i="4"/>
  <c r="E21" i="5"/>
  <c r="I17" i="7"/>
  <c r="O322" i="4"/>
  <c r="O314" i="4"/>
  <c r="H29" i="5"/>
  <c r="M26" i="4"/>
  <c r="N33" i="4"/>
  <c r="N44" i="4"/>
  <c r="N55" i="4"/>
  <c r="M59" i="4"/>
  <c r="Q70" i="4"/>
  <c r="N74" i="4"/>
  <c r="M78" i="4"/>
  <c r="O83" i="4"/>
  <c r="N87" i="4"/>
  <c r="O91" i="4"/>
  <c r="N100" i="4"/>
  <c r="Q104" i="4"/>
  <c r="N118" i="4"/>
  <c r="N128" i="4"/>
  <c r="M133" i="4"/>
  <c r="M162" i="4"/>
  <c r="O168" i="4"/>
  <c r="O194" i="4"/>
  <c r="Q201" i="4"/>
  <c r="M210" i="4"/>
  <c r="Q268" i="4"/>
  <c r="Q277" i="4"/>
  <c r="M288" i="4"/>
  <c r="M313" i="4"/>
  <c r="O176" i="4"/>
  <c r="O131" i="4"/>
  <c r="O172" i="4"/>
  <c r="O127" i="4"/>
  <c r="O134" i="4"/>
  <c r="H6" i="5"/>
  <c r="O175" i="4"/>
  <c r="O130" i="4"/>
  <c r="O119" i="4"/>
  <c r="Q210" i="4"/>
  <c r="Q177" i="4"/>
  <c r="Q117" i="4"/>
  <c r="Q172" i="4"/>
  <c r="Q127" i="4"/>
  <c r="Q134" i="4"/>
  <c r="I6" i="5"/>
  <c r="Q126" i="4"/>
  <c r="Q174" i="4"/>
  <c r="O294" i="4"/>
  <c r="O187" i="4"/>
  <c r="H23" i="5"/>
  <c r="O179" i="4"/>
  <c r="O186" i="4"/>
  <c r="O310" i="4"/>
  <c r="O182" i="4"/>
  <c r="O181" i="4"/>
  <c r="O8" i="4"/>
  <c r="Q15" i="4"/>
  <c r="M19" i="4"/>
  <c r="N26" i="4"/>
  <c r="O33" i="4"/>
  <c r="O44" i="4"/>
  <c r="Q55" i="4"/>
  <c r="N59" i="4"/>
  <c r="O74" i="4"/>
  <c r="N78" i="4"/>
  <c r="Q83" i="4"/>
  <c r="O87" i="4"/>
  <c r="Q91" i="4"/>
  <c r="O100" i="4"/>
  <c r="O118" i="4"/>
  <c r="O128" i="4"/>
  <c r="N133" i="4"/>
  <c r="N145" i="4"/>
  <c r="M156" i="4"/>
  <c r="N162" i="4"/>
  <c r="Q168" i="4"/>
  <c r="M202" i="4"/>
  <c r="N210" i="4"/>
  <c r="N227" i="4"/>
  <c r="M269" i="4"/>
  <c r="N288" i="4"/>
  <c r="Q300" i="4"/>
  <c r="N313" i="4"/>
  <c r="E22" i="5"/>
  <c r="F7" i="3"/>
  <c r="M18" i="4"/>
  <c r="N19" i="4"/>
  <c r="O26" i="4"/>
  <c r="Q33" i="4"/>
  <c r="M37" i="4"/>
  <c r="M48" i="4"/>
  <c r="O59" i="4"/>
  <c r="M63" i="4"/>
  <c r="Q74" i="4"/>
  <c r="O78" i="4"/>
  <c r="Q87" i="4"/>
  <c r="N96" i="4"/>
  <c r="Q100" i="4"/>
  <c r="M109" i="4"/>
  <c r="M114" i="4"/>
  <c r="Q118" i="4"/>
  <c r="Q128" i="4"/>
  <c r="O133" i="4"/>
  <c r="M139" i="4"/>
  <c r="O145" i="4"/>
  <c r="N156" i="4"/>
  <c r="O162" i="4"/>
  <c r="M169" i="4"/>
  <c r="M175" i="4"/>
  <c r="M189" i="4"/>
  <c r="O210" i="4"/>
  <c r="Q227" i="4"/>
  <c r="M235" i="4"/>
  <c r="M244" i="4"/>
  <c r="R244" i="4" s="1"/>
  <c r="O269" i="4"/>
  <c r="O288" i="4"/>
  <c r="E23" i="5"/>
  <c r="Q183" i="4"/>
  <c r="I23" i="5"/>
  <c r="Q179" i="4"/>
  <c r="Q186" i="4"/>
  <c r="Q182" i="4"/>
  <c r="Q188" i="4"/>
  <c r="L20" i="3"/>
  <c r="Q69" i="4"/>
  <c r="F17" i="3"/>
  <c r="F6" i="3"/>
  <c r="F14" i="3"/>
  <c r="F18" i="3"/>
  <c r="F22" i="3"/>
  <c r="F26" i="3"/>
  <c r="F30" i="3"/>
  <c r="F34" i="3"/>
  <c r="M5" i="4"/>
  <c r="N12" i="4"/>
  <c r="O19" i="4"/>
  <c r="Q26" i="4"/>
  <c r="N37" i="4"/>
  <c r="O48" i="4"/>
  <c r="Q59" i="4"/>
  <c r="N63" i="4"/>
  <c r="Q78" i="4"/>
  <c r="O96" i="4"/>
  <c r="N109" i="4"/>
  <c r="N114" i="4"/>
  <c r="O123" i="4"/>
  <c r="Q133" i="4"/>
  <c r="Q145" i="4"/>
  <c r="N151" i="4"/>
  <c r="O156" i="4"/>
  <c r="Q162" i="4"/>
  <c r="O169" i="4"/>
  <c r="Q175" i="4"/>
  <c r="N182" i="4"/>
  <c r="T218" i="4"/>
  <c r="O235" i="4"/>
  <c r="M252" i="4"/>
  <c r="Q288" i="4"/>
  <c r="O316" i="4"/>
  <c r="Q155" i="4"/>
  <c r="Q308" i="4"/>
  <c r="Q206" i="4"/>
  <c r="Q265" i="4"/>
  <c r="Q272" i="4"/>
  <c r="Q240" i="4"/>
  <c r="Q195" i="4"/>
  <c r="Q311" i="4"/>
  <c r="Q279" i="4"/>
  <c r="Q202" i="4"/>
  <c r="Q209" i="4"/>
  <c r="Q293" i="4"/>
  <c r="Q161" i="4"/>
  <c r="Q307" i="4"/>
  <c r="Q275" i="4"/>
  <c r="Q198" i="4"/>
  <c r="Q205" i="4"/>
  <c r="Q150" i="4"/>
  <c r="Q157" i="4"/>
  <c r="Q264" i="4"/>
  <c r="Q232" i="4"/>
  <c r="Q271" i="4"/>
  <c r="Q239" i="4"/>
  <c r="Q194" i="4"/>
  <c r="I14" i="5"/>
  <c r="Q208" i="4"/>
  <c r="Q160" i="4"/>
  <c r="Q313" i="4"/>
  <c r="Q204" i="4"/>
  <c r="Q149" i="4"/>
  <c r="Q207" i="4"/>
  <c r="Q203" i="4"/>
  <c r="T203" i="4" s="1"/>
  <c r="G11" i="5"/>
  <c r="N124" i="4"/>
  <c r="Q132" i="4"/>
  <c r="I31" i="5"/>
  <c r="L28" i="3"/>
  <c r="F10" i="3"/>
  <c r="M266" i="4"/>
  <c r="M234" i="4"/>
  <c r="M188" i="4"/>
  <c r="E35" i="5"/>
  <c r="M312" i="4"/>
  <c r="M319" i="4"/>
  <c r="M287" i="4"/>
  <c r="M294" i="4"/>
  <c r="M230" i="4"/>
  <c r="R230" i="4" s="1"/>
  <c r="M217" i="4"/>
  <c r="E34" i="5"/>
  <c r="E26" i="5"/>
  <c r="E10" i="5"/>
  <c r="M301" i="4"/>
  <c r="M251" i="4"/>
  <c r="M96" i="4"/>
  <c r="M322" i="4"/>
  <c r="M290" i="4"/>
  <c r="M258" i="4"/>
  <c r="M226" i="4"/>
  <c r="M213" i="4"/>
  <c r="M180" i="4"/>
  <c r="E33" i="5"/>
  <c r="E25" i="5"/>
  <c r="E17" i="5"/>
  <c r="M187" i="4"/>
  <c r="M85" i="4"/>
  <c r="M73" i="4"/>
  <c r="R73" i="4" s="1"/>
  <c r="M41" i="4"/>
  <c r="R41" i="4" s="1"/>
  <c r="M318" i="4"/>
  <c r="M286" i="4"/>
  <c r="R286" i="4" s="1"/>
  <c r="M254" i="4"/>
  <c r="E32" i="5"/>
  <c r="E8" i="5"/>
  <c r="M261" i="4"/>
  <c r="M229" i="4"/>
  <c r="M216" i="4"/>
  <c r="M183" i="4"/>
  <c r="M138" i="4"/>
  <c r="M106" i="4"/>
  <c r="M236" i="4"/>
  <c r="M113" i="4"/>
  <c r="M220" i="4"/>
  <c r="M88" i="4"/>
  <c r="M314" i="4"/>
  <c r="M250" i="4"/>
  <c r="M95" i="4"/>
  <c r="M116" i="4"/>
  <c r="M310" i="4"/>
  <c r="M168" i="4"/>
  <c r="M146" i="4"/>
  <c r="M123" i="4"/>
  <c r="E30" i="5"/>
  <c r="M292" i="4"/>
  <c r="M260" i="4"/>
  <c r="M215" i="4"/>
  <c r="M182" i="4"/>
  <c r="M137" i="4"/>
  <c r="E29" i="5"/>
  <c r="M320" i="4"/>
  <c r="M295" i="4"/>
  <c r="M218" i="4"/>
  <c r="M185" i="4"/>
  <c r="E28" i="5"/>
  <c r="E20" i="5"/>
  <c r="E12" i="5"/>
  <c r="M167" i="4"/>
  <c r="M291" i="4"/>
  <c r="M259" i="4"/>
  <c r="M227" i="4"/>
  <c r="M214" i="4"/>
  <c r="M181" i="4"/>
  <c r="N315" i="4"/>
  <c r="N283" i="4"/>
  <c r="N247" i="4"/>
  <c r="N243" i="4"/>
  <c r="N120" i="4"/>
  <c r="N76" i="4"/>
  <c r="N282" i="4"/>
  <c r="N246" i="4"/>
  <c r="N285" i="4"/>
  <c r="N316" i="4"/>
  <c r="N284" i="4"/>
  <c r="N298" i="4"/>
  <c r="N301" i="4"/>
  <c r="G17" i="5"/>
  <c r="N229" i="4"/>
  <c r="N236" i="4"/>
  <c r="G25" i="5"/>
  <c r="N146" i="4"/>
  <c r="N322" i="4"/>
  <c r="N314" i="4"/>
  <c r="N5" i="4"/>
  <c r="O12" i="4"/>
  <c r="Q19" i="4"/>
  <c r="M30" i="4"/>
  <c r="R30" i="4" s="1"/>
  <c r="O37" i="4"/>
  <c r="Q48" i="4"/>
  <c r="M52" i="4"/>
  <c r="R52" i="4" s="1"/>
  <c r="O63" i="4"/>
  <c r="M67" i="4"/>
  <c r="R67" i="4" s="1"/>
  <c r="M92" i="4"/>
  <c r="Q96" i="4"/>
  <c r="O114" i="4"/>
  <c r="Q123" i="4"/>
  <c r="O151" i="4"/>
  <c r="Q156" i="4"/>
  <c r="Q244" i="4"/>
  <c r="O252" i="4"/>
  <c r="N260" i="4"/>
  <c r="M302" i="4"/>
  <c r="G28" i="5"/>
  <c r="K16" i="7"/>
  <c r="K20" i="7" s="1"/>
  <c r="K26" i="7"/>
  <c r="K28" i="7" s="1"/>
  <c r="K8" i="7"/>
  <c r="K12" i="7" s="1"/>
  <c r="U36" i="4" l="1"/>
  <c r="V36" i="4" s="1"/>
  <c r="S36" i="4"/>
  <c r="T36" i="4"/>
  <c r="U204" i="4"/>
  <c r="V204" i="4" s="1"/>
  <c r="S204" i="4"/>
  <c r="U112" i="4"/>
  <c r="V112" i="4" s="1"/>
  <c r="S112" i="4"/>
  <c r="T112" i="4"/>
  <c r="T61" i="4"/>
  <c r="U61" i="4"/>
  <c r="V61" i="4" s="1"/>
  <c r="S61" i="4"/>
  <c r="U73" i="4"/>
  <c r="V73" i="4" s="1"/>
  <c r="S73" i="4"/>
  <c r="U77" i="4"/>
  <c r="V77" i="4" s="1"/>
  <c r="S77" i="4"/>
  <c r="T77" i="4"/>
  <c r="U27" i="4"/>
  <c r="V27" i="4" s="1"/>
  <c r="S27" i="4"/>
  <c r="U244" i="4"/>
  <c r="V244" i="4" s="1"/>
  <c r="S244" i="4"/>
  <c r="U75" i="4"/>
  <c r="V75" i="4" s="1"/>
  <c r="S75" i="4"/>
  <c r="S50" i="4"/>
  <c r="U50" i="4"/>
  <c r="V50" i="4" s="1"/>
  <c r="T41" i="4"/>
  <c r="U41" i="4"/>
  <c r="V41" i="4" s="1"/>
  <c r="S41" i="4"/>
  <c r="U68" i="4"/>
  <c r="V68" i="4" s="1"/>
  <c r="S68" i="4"/>
  <c r="U52" i="4"/>
  <c r="V52" i="4" s="1"/>
  <c r="S52" i="4"/>
  <c r="U30" i="4"/>
  <c r="V30" i="4" s="1"/>
  <c r="S30" i="4"/>
  <c r="U230" i="4"/>
  <c r="V230" i="4" s="1"/>
  <c r="S230" i="4"/>
  <c r="T230" i="4"/>
  <c r="U67" i="4"/>
  <c r="V67" i="4" s="1"/>
  <c r="S67" i="4"/>
  <c r="U286" i="4"/>
  <c r="V286" i="4" s="1"/>
  <c r="S286" i="4"/>
  <c r="U117" i="4"/>
  <c r="V117" i="4" s="1"/>
  <c r="S117" i="4"/>
  <c r="U60" i="4"/>
  <c r="V60" i="4" s="1"/>
  <c r="S60" i="4"/>
  <c r="T60" i="4"/>
  <c r="R287" i="4"/>
  <c r="U287" i="4" s="1"/>
  <c r="V287" i="4" s="1"/>
  <c r="R54" i="4"/>
  <c r="R192" i="4"/>
  <c r="U192" i="4" s="1"/>
  <c r="V192" i="4" s="1"/>
  <c r="E5" i="11"/>
  <c r="F5" i="11" s="1"/>
  <c r="J35" i="7"/>
  <c r="R306" i="4"/>
  <c r="U306" i="4" s="1"/>
  <c r="V306" i="4" s="1"/>
  <c r="R293" i="4"/>
  <c r="U293" i="4" s="1"/>
  <c r="V293" i="4" s="1"/>
  <c r="R49" i="4"/>
  <c r="U49" i="4" s="1"/>
  <c r="V49" i="4" s="1"/>
  <c r="K37" i="3"/>
  <c r="R37" i="4"/>
  <c r="S37" i="4"/>
  <c r="R156" i="4"/>
  <c r="U156" i="4" s="1"/>
  <c r="V156" i="4" s="1"/>
  <c r="S156" i="4"/>
  <c r="R162" i="4"/>
  <c r="U162" i="4" s="1"/>
  <c r="V162" i="4" s="1"/>
  <c r="S162" i="4"/>
  <c r="R74" i="4"/>
  <c r="U74" i="4" s="1"/>
  <c r="V74" i="4" s="1"/>
  <c r="V29" i="4"/>
  <c r="R267" i="4"/>
  <c r="U267" i="4" s="1"/>
  <c r="V267" i="4" s="1"/>
  <c r="R202" i="4"/>
  <c r="U202" i="4" s="1"/>
  <c r="V202" i="4" s="1"/>
  <c r="S202" i="4"/>
  <c r="S154" i="4"/>
  <c r="R154" i="4"/>
  <c r="U154" i="4" s="1"/>
  <c r="V154" i="4" s="1"/>
  <c r="R166" i="4"/>
  <c r="U166" i="4" s="1"/>
  <c r="V166" i="4" s="1"/>
  <c r="T17" i="4"/>
  <c r="T263" i="4"/>
  <c r="R320" i="4"/>
  <c r="U320" i="4" s="1"/>
  <c r="V320" i="4" s="1"/>
  <c r="R279" i="4"/>
  <c r="U279" i="4" s="1"/>
  <c r="V279" i="4" s="1"/>
  <c r="T279" i="4"/>
  <c r="R145" i="4"/>
  <c r="U145" i="4" s="1"/>
  <c r="V145" i="4" s="1"/>
  <c r="S145" i="4"/>
  <c r="T117" i="4"/>
  <c r="R8" i="4"/>
  <c r="R15" i="4"/>
  <c r="U15" i="4" s="1"/>
  <c r="V15" i="4" s="1"/>
  <c r="R200" i="4"/>
  <c r="U200" i="4" s="1"/>
  <c r="V200" i="4" s="1"/>
  <c r="T102" i="4"/>
  <c r="T148" i="4"/>
  <c r="R255" i="4"/>
  <c r="U255" i="4" s="1"/>
  <c r="V255" i="4" s="1"/>
  <c r="S255" i="4"/>
  <c r="R292" i="4"/>
  <c r="U292" i="4" s="1"/>
  <c r="V292" i="4" s="1"/>
  <c r="R123" i="4"/>
  <c r="U123" i="4" s="1"/>
  <c r="V123" i="4" s="1"/>
  <c r="R311" i="4"/>
  <c r="U311" i="4" s="1"/>
  <c r="V311" i="4" s="1"/>
  <c r="M37" i="3"/>
  <c r="N6" i="3"/>
  <c r="N37" i="3" s="1"/>
  <c r="N42" i="3" s="1"/>
  <c r="T96" i="4"/>
  <c r="S249" i="4"/>
  <c r="R249" i="4"/>
  <c r="U249" i="4" s="1"/>
  <c r="V249" i="4" s="1"/>
  <c r="R12" i="4"/>
  <c r="S12" i="4"/>
  <c r="R133" i="4"/>
  <c r="U133" i="4" s="1"/>
  <c r="V133" i="4" s="1"/>
  <c r="S133" i="4"/>
  <c r="R55" i="4"/>
  <c r="U55" i="4" s="1"/>
  <c r="V55" i="4" s="1"/>
  <c r="M33" i="3"/>
  <c r="N33" i="3" s="1"/>
  <c r="L33" i="3"/>
  <c r="R312" i="4"/>
  <c r="U312" i="4" s="1"/>
  <c r="V312" i="4" s="1"/>
  <c r="R148" i="4"/>
  <c r="U148" i="4" s="1"/>
  <c r="V148" i="4" s="1"/>
  <c r="R281" i="4"/>
  <c r="U281" i="4" s="1"/>
  <c r="V281" i="4" s="1"/>
  <c r="S176" i="4"/>
  <c r="R257" i="4"/>
  <c r="U257" i="4" s="1"/>
  <c r="V257" i="4" s="1"/>
  <c r="S195" i="4"/>
  <c r="R195" i="4"/>
  <c r="U195" i="4" s="1"/>
  <c r="V195" i="4" s="1"/>
  <c r="R291" i="4"/>
  <c r="U291" i="4" s="1"/>
  <c r="V291" i="4" s="1"/>
  <c r="S291" i="4"/>
  <c r="S14" i="4"/>
  <c r="T195" i="4"/>
  <c r="T128" i="4"/>
  <c r="T210" i="4"/>
  <c r="S44" i="4"/>
  <c r="R44" i="4"/>
  <c r="M29" i="3"/>
  <c r="N29" i="3" s="1"/>
  <c r="L29" i="3"/>
  <c r="R217" i="4"/>
  <c r="U217" i="4" s="1"/>
  <c r="V217" i="4" s="1"/>
  <c r="S167" i="4"/>
  <c r="R167" i="4"/>
  <c r="U167" i="4" s="1"/>
  <c r="V167" i="4" s="1"/>
  <c r="R160" i="4"/>
  <c r="U160" i="4" s="1"/>
  <c r="V160" i="4" s="1"/>
  <c r="T131" i="4"/>
  <c r="R185" i="4"/>
  <c r="U185" i="4" s="1"/>
  <c r="V185" i="4" s="1"/>
  <c r="R263" i="4"/>
  <c r="U263" i="4" s="1"/>
  <c r="V263" i="4" s="1"/>
  <c r="R261" i="4"/>
  <c r="U261" i="4" s="1"/>
  <c r="V261" i="4" s="1"/>
  <c r="R240" i="4"/>
  <c r="U240" i="4" s="1"/>
  <c r="V240" i="4" s="1"/>
  <c r="R280" i="4"/>
  <c r="U280" i="4" s="1"/>
  <c r="V280" i="4" s="1"/>
  <c r="V105" i="4"/>
  <c r="C14" i="8"/>
  <c r="B14" i="8" s="1"/>
  <c r="H30" i="7"/>
  <c r="H33" i="7" s="1"/>
  <c r="D5" i="11" s="1"/>
  <c r="D8" i="11" s="1"/>
  <c r="R33" i="4"/>
  <c r="U33" i="4" s="1"/>
  <c r="V33" i="4" s="1"/>
  <c r="M25" i="3"/>
  <c r="N25" i="3" s="1"/>
  <c r="L25" i="3"/>
  <c r="R131" i="4"/>
  <c r="U131" i="4" s="1"/>
  <c r="V131" i="4" s="1"/>
  <c r="R258" i="4"/>
  <c r="U258" i="4" s="1"/>
  <c r="V258" i="4" s="1"/>
  <c r="R272" i="4"/>
  <c r="U272" i="4" s="1"/>
  <c r="V272" i="4" s="1"/>
  <c r="S272" i="4"/>
  <c r="T262" i="4"/>
  <c r="T270" i="4"/>
  <c r="R63" i="4"/>
  <c r="S63" i="4"/>
  <c r="T272" i="4"/>
  <c r="M21" i="3"/>
  <c r="N21" i="3" s="1"/>
  <c r="L21" i="3"/>
  <c r="T310" i="4"/>
  <c r="R149" i="4"/>
  <c r="U149" i="4" s="1"/>
  <c r="V149" i="4" s="1"/>
  <c r="T94" i="4"/>
  <c r="R116" i="4"/>
  <c r="U116" i="4" s="1"/>
  <c r="V116" i="4" s="1"/>
  <c r="T57" i="4"/>
  <c r="S231" i="4"/>
  <c r="R231" i="4"/>
  <c r="U231" i="4" s="1"/>
  <c r="V231" i="4" s="1"/>
  <c r="S206" i="4"/>
  <c r="R206" i="4"/>
  <c r="U206" i="4" s="1"/>
  <c r="V206" i="4" s="1"/>
  <c r="R171" i="4"/>
  <c r="U171" i="4" s="1"/>
  <c r="V171" i="4" s="1"/>
  <c r="S237" i="4"/>
  <c r="R237" i="4"/>
  <c r="R233" i="4"/>
  <c r="U233" i="4" s="1"/>
  <c r="V233" i="4" s="1"/>
  <c r="R262" i="4"/>
  <c r="U262" i="4" s="1"/>
  <c r="V262" i="4" s="1"/>
  <c r="S262" i="4"/>
  <c r="R228" i="4"/>
  <c r="U228" i="4" s="1"/>
  <c r="V228" i="4" s="1"/>
  <c r="T7" i="4"/>
  <c r="T265" i="4"/>
  <c r="M17" i="3"/>
  <c r="N17" i="3" s="1"/>
  <c r="L17" i="3"/>
  <c r="R209" i="4"/>
  <c r="U209" i="4" s="1"/>
  <c r="V209" i="4" s="1"/>
  <c r="R144" i="4"/>
  <c r="U144" i="4" s="1"/>
  <c r="V144" i="4" s="1"/>
  <c r="R137" i="4"/>
  <c r="U137" i="4" s="1"/>
  <c r="V137" i="4" s="1"/>
  <c r="S98" i="4"/>
  <c r="R98" i="4"/>
  <c r="R223" i="4"/>
  <c r="S223" i="4"/>
  <c r="S323" i="4" s="1"/>
  <c r="S197" i="4"/>
  <c r="R197" i="4"/>
  <c r="U197" i="4" s="1"/>
  <c r="V197" i="4" s="1"/>
  <c r="S48" i="4"/>
  <c r="R48" i="4"/>
  <c r="U48" i="4" s="1"/>
  <c r="V48" i="4" s="1"/>
  <c r="R265" i="4"/>
  <c r="U265" i="4" s="1"/>
  <c r="V265" i="4" s="1"/>
  <c r="R184" i="4"/>
  <c r="U184" i="4" s="1"/>
  <c r="V184" i="4" s="1"/>
  <c r="S245" i="4"/>
  <c r="R245" i="4"/>
  <c r="U245" i="4" s="1"/>
  <c r="V245" i="4" s="1"/>
  <c r="S46" i="4"/>
  <c r="S319" i="4"/>
  <c r="R319" i="4"/>
  <c r="U319" i="4" s="1"/>
  <c r="V319" i="4" s="1"/>
  <c r="T206" i="4"/>
  <c r="M9" i="3"/>
  <c r="N9" i="3" s="1"/>
  <c r="L9" i="3"/>
  <c r="R181" i="4"/>
  <c r="U181" i="4" s="1"/>
  <c r="V181" i="4" s="1"/>
  <c r="S181" i="4"/>
  <c r="R132" i="4"/>
  <c r="U132" i="4" s="1"/>
  <c r="V132" i="4" s="1"/>
  <c r="T35" i="4"/>
  <c r="R214" i="4"/>
  <c r="U214" i="4" s="1"/>
  <c r="V214" i="4" s="1"/>
  <c r="S214" i="4"/>
  <c r="R178" i="4"/>
  <c r="U178" i="4" s="1"/>
  <c r="V178" i="4" s="1"/>
  <c r="R125" i="4"/>
  <c r="U125" i="4" s="1"/>
  <c r="V125" i="4" s="1"/>
  <c r="S92" i="4"/>
  <c r="R92" i="4"/>
  <c r="S158" i="4"/>
  <c r="R158" i="4"/>
  <c r="U158" i="4" s="1"/>
  <c r="V158" i="4" s="1"/>
  <c r="R147" i="4"/>
  <c r="U147" i="4" s="1"/>
  <c r="V147" i="4" s="1"/>
  <c r="S147" i="4"/>
  <c r="R96" i="4"/>
  <c r="U96" i="4" s="1"/>
  <c r="V96" i="4" s="1"/>
  <c r="S96" i="4"/>
  <c r="T171" i="4"/>
  <c r="S138" i="4"/>
  <c r="R138" i="4"/>
  <c r="U138" i="4" s="1"/>
  <c r="V138" i="4" s="1"/>
  <c r="S309" i="4"/>
  <c r="R309" i="4"/>
  <c r="U309" i="4" s="1"/>
  <c r="V309" i="4" s="1"/>
  <c r="S111" i="4"/>
  <c r="R111" i="4"/>
  <c r="U111" i="4" s="1"/>
  <c r="V111" i="4" s="1"/>
  <c r="R103" i="4"/>
  <c r="U103" i="4" s="1"/>
  <c r="V103" i="4" s="1"/>
  <c r="S276" i="4"/>
  <c r="R276" i="4"/>
  <c r="U276" i="4" s="1"/>
  <c r="V276" i="4" s="1"/>
  <c r="T211" i="4"/>
  <c r="R163" i="4"/>
  <c r="U163" i="4" s="1"/>
  <c r="V163" i="4" s="1"/>
  <c r="T32" i="4"/>
  <c r="T209" i="4"/>
  <c r="T311" i="4"/>
  <c r="T155" i="4"/>
  <c r="T87" i="4"/>
  <c r="R78" i="4"/>
  <c r="U78" i="4" s="1"/>
  <c r="V78" i="4" s="1"/>
  <c r="T249" i="4"/>
  <c r="S302" i="4"/>
  <c r="R302" i="4"/>
  <c r="S122" i="4"/>
  <c r="R122" i="4"/>
  <c r="U122" i="4" s="1"/>
  <c r="V122" i="4" s="1"/>
  <c r="T167" i="4"/>
  <c r="R21" i="4"/>
  <c r="U21" i="4" s="1"/>
  <c r="V21" i="4" s="1"/>
  <c r="R264" i="4"/>
  <c r="U264" i="4" s="1"/>
  <c r="V264" i="4" s="1"/>
  <c r="T185" i="4"/>
  <c r="R308" i="4"/>
  <c r="U308" i="4" s="1"/>
  <c r="V308" i="4" s="1"/>
  <c r="S308" i="4"/>
  <c r="S56" i="4"/>
  <c r="S34" i="4"/>
  <c r="T215" i="4"/>
  <c r="R299" i="4"/>
  <c r="U299" i="4" s="1"/>
  <c r="V299" i="4" s="1"/>
  <c r="R155" i="4"/>
  <c r="U155" i="4" s="1"/>
  <c r="V155" i="4" s="1"/>
  <c r="R99" i="4"/>
  <c r="U99" i="4" s="1"/>
  <c r="V99" i="4" s="1"/>
  <c r="V14" i="4"/>
  <c r="T147" i="4"/>
  <c r="T184" i="4"/>
  <c r="R152" i="4"/>
  <c r="U152" i="4" s="1"/>
  <c r="V152" i="4" s="1"/>
  <c r="S269" i="4"/>
  <c r="R269" i="4"/>
  <c r="V203" i="4"/>
  <c r="R59" i="4"/>
  <c r="U59" i="4" s="1"/>
  <c r="V59" i="4" s="1"/>
  <c r="S59" i="4"/>
  <c r="T108" i="4"/>
  <c r="S303" i="4"/>
  <c r="R303" i="4"/>
  <c r="U303" i="4" s="1"/>
  <c r="V303" i="4" s="1"/>
  <c r="S66" i="4"/>
  <c r="R66" i="4"/>
  <c r="U66" i="4" s="1"/>
  <c r="V66" i="4" s="1"/>
  <c r="R232" i="4"/>
  <c r="U232" i="4" s="1"/>
  <c r="V232" i="4" s="1"/>
  <c r="R186" i="4"/>
  <c r="U186" i="4" s="1"/>
  <c r="V186" i="4" s="1"/>
  <c r="R207" i="4"/>
  <c r="U207" i="4" s="1"/>
  <c r="V207" i="4" s="1"/>
  <c r="R196" i="4"/>
  <c r="U196" i="4" s="1"/>
  <c r="V196" i="4" s="1"/>
  <c r="S196" i="4"/>
  <c r="R71" i="4"/>
  <c r="U71" i="4" s="1"/>
  <c r="V71" i="4" s="1"/>
  <c r="T23" i="4"/>
  <c r="T138" i="4"/>
  <c r="T202" i="4"/>
  <c r="T55" i="4"/>
  <c r="S277" i="4"/>
  <c r="R277" i="4"/>
  <c r="U277" i="4" s="1"/>
  <c r="V277" i="4" s="1"/>
  <c r="S300" i="4"/>
  <c r="R300" i="4"/>
  <c r="U300" i="4" s="1"/>
  <c r="V300" i="4" s="1"/>
  <c r="S58" i="4"/>
  <c r="R58" i="4"/>
  <c r="U58" i="4" s="1"/>
  <c r="V58" i="4" s="1"/>
  <c r="R224" i="4"/>
  <c r="U224" i="4" s="1"/>
  <c r="V224" i="4" s="1"/>
  <c r="R91" i="4"/>
  <c r="U91" i="4" s="1"/>
  <c r="V91" i="4" s="1"/>
  <c r="S89" i="4"/>
  <c r="R89" i="4"/>
  <c r="S193" i="4"/>
  <c r="R193" i="4"/>
  <c r="U193" i="4" s="1"/>
  <c r="V193" i="4" s="1"/>
  <c r="R241" i="4"/>
  <c r="U241" i="4" s="1"/>
  <c r="V241" i="4" s="1"/>
  <c r="S241" i="4"/>
  <c r="T119" i="4"/>
  <c r="T67" i="4"/>
  <c r="V97" i="4"/>
  <c r="T59" i="4"/>
  <c r="T285" i="4"/>
  <c r="R252" i="4"/>
  <c r="U252" i="4" s="1"/>
  <c r="V252" i="4" s="1"/>
  <c r="R47" i="4"/>
  <c r="T309" i="4"/>
  <c r="T166" i="4"/>
  <c r="S102" i="4"/>
  <c r="R102" i="4"/>
  <c r="U102" i="4" s="1"/>
  <c r="V102" i="4" s="1"/>
  <c r="R85" i="4"/>
  <c r="T158" i="4"/>
  <c r="R270" i="4"/>
  <c r="U270" i="4" s="1"/>
  <c r="V270" i="4" s="1"/>
  <c r="R273" i="4"/>
  <c r="U273" i="4" s="1"/>
  <c r="V273" i="4" s="1"/>
  <c r="S273" i="4"/>
  <c r="T52" i="4"/>
  <c r="S97" i="4"/>
  <c r="S87" i="4"/>
  <c r="R87" i="4"/>
  <c r="U87" i="4" s="1"/>
  <c r="V87" i="4" s="1"/>
  <c r="R253" i="4"/>
  <c r="U253" i="4" s="1"/>
  <c r="V253" i="4" s="1"/>
  <c r="R304" i="4"/>
  <c r="U304" i="4" s="1"/>
  <c r="V304" i="4" s="1"/>
  <c r="T73" i="4"/>
  <c r="R296" i="4"/>
  <c r="U296" i="4" s="1"/>
  <c r="V296" i="4" s="1"/>
  <c r="T192" i="4"/>
  <c r="T154" i="4"/>
  <c r="R72" i="4"/>
  <c r="U72" i="4" s="1"/>
  <c r="V72" i="4" s="1"/>
  <c r="T64" i="4"/>
  <c r="R153" i="4"/>
  <c r="U153" i="4" s="1"/>
  <c r="V153" i="4" s="1"/>
  <c r="T30" i="4"/>
  <c r="V65" i="4"/>
  <c r="S7" i="4"/>
  <c r="R161" i="4"/>
  <c r="U161" i="4" s="1"/>
  <c r="V161" i="4" s="1"/>
  <c r="R43" i="4"/>
  <c r="U43" i="4" s="1"/>
  <c r="V43" i="4" s="1"/>
  <c r="R108" i="4"/>
  <c r="U108" i="4" s="1"/>
  <c r="V108" i="4" s="1"/>
  <c r="T68" i="4"/>
  <c r="S53" i="4"/>
  <c r="R53" i="4"/>
  <c r="U53" i="4" s="1"/>
  <c r="V53" i="4" s="1"/>
  <c r="R93" i="4"/>
  <c r="S208" i="4"/>
  <c r="R208" i="4"/>
  <c r="U208" i="4" s="1"/>
  <c r="V208" i="4" s="1"/>
  <c r="T176" i="4"/>
  <c r="S6" i="4"/>
  <c r="R322" i="4"/>
  <c r="U322" i="4" s="1"/>
  <c r="V322" i="4" s="1"/>
  <c r="R298" i="4"/>
  <c r="U298" i="4" s="1"/>
  <c r="V298" i="4" s="1"/>
  <c r="T208" i="4"/>
  <c r="T175" i="4"/>
  <c r="T186" i="4"/>
  <c r="T268" i="4"/>
  <c r="T321" i="4"/>
  <c r="S168" i="4"/>
  <c r="R168" i="4"/>
  <c r="U168" i="4" s="1"/>
  <c r="V168" i="4" s="1"/>
  <c r="S40" i="4"/>
  <c r="R40" i="4"/>
  <c r="U40" i="4" s="1"/>
  <c r="V40" i="4" s="1"/>
  <c r="R310" i="4"/>
  <c r="U310" i="4" s="1"/>
  <c r="V310" i="4" s="1"/>
  <c r="R42" i="4"/>
  <c r="U42" i="4" s="1"/>
  <c r="V42" i="4" s="1"/>
  <c r="R254" i="4"/>
  <c r="U254" i="4" s="1"/>
  <c r="V254" i="4" s="1"/>
  <c r="S23" i="4"/>
  <c r="S135" i="4"/>
  <c r="R135" i="4"/>
  <c r="U135" i="4" s="1"/>
  <c r="V135" i="4" s="1"/>
  <c r="R301" i="4"/>
  <c r="U301" i="4" s="1"/>
  <c r="V301" i="4" s="1"/>
  <c r="T160" i="4"/>
  <c r="R317" i="4"/>
  <c r="U317" i="4" s="1"/>
  <c r="V317" i="4" s="1"/>
  <c r="T15" i="4"/>
  <c r="R194" i="4"/>
  <c r="U194" i="4" s="1"/>
  <c r="V194" i="4" s="1"/>
  <c r="R212" i="4"/>
  <c r="U212" i="4" s="1"/>
  <c r="V212" i="4" s="1"/>
  <c r="R225" i="4"/>
  <c r="U225" i="4" s="1"/>
  <c r="V225" i="4" s="1"/>
  <c r="S11" i="4"/>
  <c r="R11" i="4"/>
  <c r="U11" i="4" s="1"/>
  <c r="V11" i="4" s="1"/>
  <c r="T43" i="4"/>
  <c r="R215" i="4"/>
  <c r="U215" i="4" s="1"/>
  <c r="V215" i="4" s="1"/>
  <c r="V121" i="4"/>
  <c r="R179" i="4"/>
  <c r="U179" i="4" s="1"/>
  <c r="V179" i="4" s="1"/>
  <c r="R159" i="4"/>
  <c r="U159" i="4" s="1"/>
  <c r="V159" i="4" s="1"/>
  <c r="M35" i="3"/>
  <c r="N35" i="3" s="1"/>
  <c r="L35" i="3"/>
  <c r="R115" i="4"/>
  <c r="U115" i="4" s="1"/>
  <c r="V115" i="4" s="1"/>
  <c r="S201" i="4"/>
  <c r="R201" i="4"/>
  <c r="U201" i="4" s="1"/>
  <c r="V201" i="4" s="1"/>
  <c r="T291" i="4"/>
  <c r="R210" i="4"/>
  <c r="U210" i="4" s="1"/>
  <c r="V210" i="4" s="1"/>
  <c r="S210" i="4"/>
  <c r="R238" i="4"/>
  <c r="U238" i="4" s="1"/>
  <c r="V238" i="4" s="1"/>
  <c r="T161" i="4"/>
  <c r="T296" i="4"/>
  <c r="T48" i="4"/>
  <c r="T277" i="4"/>
  <c r="S297" i="4"/>
  <c r="R297" i="4"/>
  <c r="U297" i="4" s="1"/>
  <c r="V297" i="4" s="1"/>
  <c r="R316" i="4"/>
  <c r="U316" i="4" s="1"/>
  <c r="V316" i="4" s="1"/>
  <c r="T194" i="4"/>
  <c r="T162" i="4"/>
  <c r="R19" i="4"/>
  <c r="U19" i="4" s="1"/>
  <c r="V19" i="4" s="1"/>
  <c r="R289" i="4"/>
  <c r="U289" i="4" s="1"/>
  <c r="V289" i="4" s="1"/>
  <c r="R22" i="4"/>
  <c r="R62" i="4"/>
  <c r="U62" i="4" s="1"/>
  <c r="V62" i="4" s="1"/>
  <c r="L8" i="3"/>
  <c r="T187" i="4"/>
  <c r="U24" i="4"/>
  <c r="V24" i="4" s="1"/>
  <c r="S24" i="4"/>
  <c r="R278" i="4"/>
  <c r="R177" i="4"/>
  <c r="U177" i="4" s="1"/>
  <c r="V177" i="4" s="1"/>
  <c r="S177" i="4"/>
  <c r="S84" i="4"/>
  <c r="T6" i="4"/>
  <c r="L24" i="3"/>
  <c r="S121" i="4"/>
  <c r="T258" i="4"/>
  <c r="T183" i="4"/>
  <c r="T254" i="4"/>
  <c r="R321" i="4"/>
  <c r="U321" i="4" s="1"/>
  <c r="V321" i="4" s="1"/>
  <c r="H8" i="6"/>
  <c r="J8" i="6" s="1"/>
  <c r="E10" i="8" s="1"/>
  <c r="H7" i="6"/>
  <c r="J7" i="6" s="1"/>
  <c r="D10" i="8" s="1"/>
  <c r="H6" i="6"/>
  <c r="J6" i="6" s="1"/>
  <c r="R226" i="4"/>
  <c r="R94" i="4"/>
  <c r="U94" i="4" s="1"/>
  <c r="V94" i="4" s="1"/>
  <c r="R183" i="4"/>
  <c r="U183" i="4" s="1"/>
  <c r="V183" i="4" s="1"/>
  <c r="R17" i="4"/>
  <c r="U17" i="4" s="1"/>
  <c r="V17" i="4" s="1"/>
  <c r="U101" i="4"/>
  <c r="V101" i="4" s="1"/>
  <c r="T101" i="4"/>
  <c r="R239" i="4"/>
  <c r="U239" i="4" s="1"/>
  <c r="V239" i="4" s="1"/>
  <c r="T46" i="4"/>
  <c r="T10" i="4"/>
  <c r="T56" i="4"/>
  <c r="R146" i="4"/>
  <c r="U146" i="4" s="1"/>
  <c r="V146" i="4" s="1"/>
  <c r="K30" i="7"/>
  <c r="K33" i="7" s="1"/>
  <c r="K35" i="7" s="1"/>
  <c r="S246" i="4"/>
  <c r="R246" i="4"/>
  <c r="U246" i="4" s="1"/>
  <c r="V246" i="4" s="1"/>
  <c r="T271" i="4"/>
  <c r="R151" i="4"/>
  <c r="S151" i="4"/>
  <c r="R251" i="4"/>
  <c r="U251" i="4" s="1"/>
  <c r="V251" i="4" s="1"/>
  <c r="T286" i="4"/>
  <c r="R95" i="4"/>
  <c r="R129" i="4"/>
  <c r="U129" i="4" s="1"/>
  <c r="V129" i="4" s="1"/>
  <c r="R18" i="4"/>
  <c r="S187" i="4"/>
  <c r="R187" i="4"/>
  <c r="U187" i="4" s="1"/>
  <c r="V187" i="4" s="1"/>
  <c r="T49" i="4"/>
  <c r="R271" i="4"/>
  <c r="U271" i="4" s="1"/>
  <c r="V271" i="4" s="1"/>
  <c r="T245" i="4"/>
  <c r="T34" i="4"/>
  <c r="V28" i="4"/>
  <c r="S29" i="4"/>
  <c r="R235" i="4"/>
  <c r="U235" i="4" s="1"/>
  <c r="V235" i="4" s="1"/>
  <c r="T204" i="4"/>
  <c r="R274" i="4"/>
  <c r="U274" i="4" s="1"/>
  <c r="V274" i="4" s="1"/>
  <c r="T232" i="4"/>
  <c r="R242" i="4"/>
  <c r="U242" i="4" s="1"/>
  <c r="V242" i="4" s="1"/>
  <c r="T318" i="4"/>
  <c r="R250" i="4"/>
  <c r="U250" i="4" s="1"/>
  <c r="V250" i="4" s="1"/>
  <c r="R113" i="4"/>
  <c r="U113" i="4" s="1"/>
  <c r="V113" i="4" s="1"/>
  <c r="S113" i="4"/>
  <c r="S174" i="4"/>
  <c r="R174" i="4"/>
  <c r="U174" i="4" s="1"/>
  <c r="V174" i="4" s="1"/>
  <c r="R126" i="4"/>
  <c r="U126" i="4" s="1"/>
  <c r="V126" i="4" s="1"/>
  <c r="R180" i="4"/>
  <c r="U180" i="4" s="1"/>
  <c r="V180" i="4" s="1"/>
  <c r="L31" i="3"/>
  <c r="T312" i="4"/>
  <c r="U31" i="4"/>
  <c r="V31" i="4" s="1"/>
  <c r="S31" i="4"/>
  <c r="T79" i="4"/>
  <c r="R157" i="4"/>
  <c r="U157" i="4" s="1"/>
  <c r="V157" i="4" s="1"/>
  <c r="S32" i="4"/>
  <c r="S28" i="4"/>
  <c r="S25" i="4"/>
  <c r="R124" i="4"/>
  <c r="U124" i="4" s="1"/>
  <c r="V124" i="4" s="1"/>
  <c r="S124" i="4"/>
  <c r="R188" i="4"/>
  <c r="U188" i="4" s="1"/>
  <c r="V188" i="4" s="1"/>
  <c r="T145" i="4"/>
  <c r="R260" i="4"/>
  <c r="U260" i="4" s="1"/>
  <c r="V260" i="4" s="1"/>
  <c r="R76" i="4"/>
  <c r="U76" i="4" s="1"/>
  <c r="V76" i="4" s="1"/>
  <c r="T264" i="4"/>
  <c r="T133" i="4"/>
  <c r="T217" i="4"/>
  <c r="T169" i="4"/>
  <c r="R88" i="4"/>
  <c r="S88" i="4" s="1"/>
  <c r="V25" i="4"/>
  <c r="S130" i="4"/>
  <c r="R130" i="4"/>
  <c r="U130" i="4" s="1"/>
  <c r="V130" i="4" s="1"/>
  <c r="L16" i="3"/>
  <c r="R69" i="4"/>
  <c r="U69" i="4" s="1"/>
  <c r="V69" i="4" s="1"/>
  <c r="S69" i="4"/>
  <c r="R294" i="4"/>
  <c r="U294" i="4" s="1"/>
  <c r="V294" i="4" s="1"/>
  <c r="S294" i="4"/>
  <c r="S136" i="4"/>
  <c r="R136" i="4"/>
  <c r="U136" i="4" s="1"/>
  <c r="V136" i="4" s="1"/>
  <c r="S57" i="4"/>
  <c r="R57" i="4"/>
  <c r="U57" i="4" s="1"/>
  <c r="V57" i="4" s="1"/>
  <c r="L27" i="3"/>
  <c r="R150" i="4"/>
  <c r="U150" i="4" s="1"/>
  <c r="V150" i="4" s="1"/>
  <c r="S10" i="4"/>
  <c r="L11" i="3"/>
  <c r="R70" i="4"/>
  <c r="U70" i="4" s="1"/>
  <c r="V70" i="4" s="1"/>
  <c r="T274" i="4"/>
  <c r="R26" i="4"/>
  <c r="U26" i="4" s="1"/>
  <c r="V26" i="4" s="1"/>
  <c r="S26" i="4"/>
  <c r="T239" i="4"/>
  <c r="R259" i="4"/>
  <c r="U259" i="4" s="1"/>
  <c r="V259" i="4" s="1"/>
  <c r="R282" i="4"/>
  <c r="U282" i="4" s="1"/>
  <c r="V282" i="4" s="1"/>
  <c r="S282" i="4"/>
  <c r="R120" i="4"/>
  <c r="U120" i="4" s="1"/>
  <c r="V120" i="4" s="1"/>
  <c r="T157" i="4"/>
  <c r="S313" i="4"/>
  <c r="R313" i="4"/>
  <c r="U313" i="4" s="1"/>
  <c r="V313" i="4" s="1"/>
  <c r="R128" i="4"/>
  <c r="U128" i="4" s="1"/>
  <c r="V128" i="4" s="1"/>
  <c r="R83" i="4"/>
  <c r="T181" i="4"/>
  <c r="R216" i="4"/>
  <c r="U216" i="4" s="1"/>
  <c r="V216" i="4" s="1"/>
  <c r="S175" i="4"/>
  <c r="R175" i="4"/>
  <c r="U175" i="4" s="1"/>
  <c r="V175" i="4" s="1"/>
  <c r="S35" i="4"/>
  <c r="R35" i="4"/>
  <c r="U35" i="4" s="1"/>
  <c r="V35" i="4" s="1"/>
  <c r="T266" i="4"/>
  <c r="R205" i="4"/>
  <c r="U205" i="4" s="1"/>
  <c r="V205" i="4" s="1"/>
  <c r="S205" i="4"/>
  <c r="S170" i="4"/>
  <c r="R170" i="4"/>
  <c r="R45" i="4"/>
  <c r="S45" i="4" s="1"/>
  <c r="T24" i="4"/>
  <c r="T71" i="4"/>
  <c r="R199" i="4"/>
  <c r="U199" i="4" s="1"/>
  <c r="V199" i="4" s="1"/>
  <c r="R173" i="4"/>
  <c r="T244" i="4"/>
  <c r="R243" i="4"/>
  <c r="U243" i="4" s="1"/>
  <c r="V243" i="4" s="1"/>
  <c r="T150" i="4"/>
  <c r="R114" i="4"/>
  <c r="S114" i="4"/>
  <c r="T300" i="4"/>
  <c r="R118" i="4"/>
  <c r="U118" i="4" s="1"/>
  <c r="V118" i="4" s="1"/>
  <c r="T122" i="4"/>
  <c r="S318" i="4"/>
  <c r="R318" i="4"/>
  <c r="U318" i="4" s="1"/>
  <c r="V318" i="4" s="1"/>
  <c r="L19" i="3"/>
  <c r="T27" i="4"/>
  <c r="S198" i="4"/>
  <c r="R198" i="4"/>
  <c r="U198" i="4" s="1"/>
  <c r="V198" i="4" s="1"/>
  <c r="R106" i="4"/>
  <c r="U106" i="4" s="1"/>
  <c r="V106" i="4" s="1"/>
  <c r="T163" i="4"/>
  <c r="S64" i="4"/>
  <c r="T207" i="4"/>
  <c r="R236" i="4"/>
  <c r="S236" i="4" s="1"/>
  <c r="R229" i="4"/>
  <c r="U229" i="4" s="1"/>
  <c r="V229" i="4" s="1"/>
  <c r="T156" i="4"/>
  <c r="R247" i="4"/>
  <c r="U247" i="4" s="1"/>
  <c r="V247" i="4" s="1"/>
  <c r="S247" i="4"/>
  <c r="T205" i="4"/>
  <c r="R109" i="4"/>
  <c r="U109" i="4" s="1"/>
  <c r="V109" i="4" s="1"/>
  <c r="T227" i="4"/>
  <c r="R288" i="4"/>
  <c r="U288" i="4" s="1"/>
  <c r="V288" i="4" s="1"/>
  <c r="S288" i="4"/>
  <c r="T104" i="4"/>
  <c r="T113" i="4"/>
  <c r="T287" i="4"/>
  <c r="S80" i="4"/>
  <c r="R80" i="4"/>
  <c r="R134" i="4"/>
  <c r="U134" i="4" s="1"/>
  <c r="V134" i="4" s="1"/>
  <c r="R90" i="4"/>
  <c r="U90" i="4" s="1"/>
  <c r="V90" i="4" s="1"/>
  <c r="T50" i="4"/>
  <c r="I8" i="6"/>
  <c r="L8" i="6" s="1"/>
  <c r="G8" i="6"/>
  <c r="K8" i="6" s="1"/>
  <c r="G7" i="6"/>
  <c r="K7" i="6" s="1"/>
  <c r="I6" i="6"/>
  <c r="L6" i="6" s="1"/>
  <c r="G6" i="6"/>
  <c r="K6" i="6" s="1"/>
  <c r="I7" i="6"/>
  <c r="L7" i="6" s="1"/>
  <c r="R107" i="4"/>
  <c r="L15" i="3"/>
  <c r="T267" i="4"/>
  <c r="R13" i="4"/>
  <c r="U13" i="4" s="1"/>
  <c r="V13" i="4" s="1"/>
  <c r="R275" i="4"/>
  <c r="U275" i="4" s="1"/>
  <c r="V275" i="4" s="1"/>
  <c r="T146" i="4"/>
  <c r="S38" i="4"/>
  <c r="R290" i="4"/>
  <c r="U290" i="4" s="1"/>
  <c r="V290" i="4" s="1"/>
  <c r="R5" i="4"/>
  <c r="S5" i="4" s="1"/>
  <c r="S81" i="4" s="1"/>
  <c r="R314" i="4"/>
  <c r="U314" i="4" s="1"/>
  <c r="V314" i="4" s="1"/>
  <c r="R182" i="4"/>
  <c r="U182" i="4" s="1"/>
  <c r="V182" i="4" s="1"/>
  <c r="R284" i="4"/>
  <c r="U284" i="4" s="1"/>
  <c r="V284" i="4" s="1"/>
  <c r="T179" i="4"/>
  <c r="S285" i="4"/>
  <c r="R285" i="4"/>
  <c r="U285" i="4" s="1"/>
  <c r="V285" i="4" s="1"/>
  <c r="R283" i="4"/>
  <c r="U283" i="4" s="1"/>
  <c r="V283" i="4" s="1"/>
  <c r="T198" i="4"/>
  <c r="R100" i="4"/>
  <c r="U100" i="4" s="1"/>
  <c r="V100" i="4" s="1"/>
  <c r="R104" i="4"/>
  <c r="U104" i="4" s="1"/>
  <c r="V104" i="4" s="1"/>
  <c r="T319" i="4"/>
  <c r="R169" i="4"/>
  <c r="U169" i="4" s="1"/>
  <c r="V169" i="4" s="1"/>
  <c r="S169" i="4"/>
  <c r="R127" i="4"/>
  <c r="U127" i="4" s="1"/>
  <c r="V127" i="4" s="1"/>
  <c r="T322" i="4"/>
  <c r="R86" i="4"/>
  <c r="U86" i="4" s="1"/>
  <c r="V86" i="4" s="1"/>
  <c r="R256" i="4"/>
  <c r="U256" i="4" s="1"/>
  <c r="V256" i="4" s="1"/>
  <c r="S256" i="4"/>
  <c r="R295" i="4"/>
  <c r="U295" i="4" s="1"/>
  <c r="V295" i="4" s="1"/>
  <c r="T76" i="4"/>
  <c r="L7" i="3"/>
  <c r="L37" i="3" s="1"/>
  <c r="T137" i="4"/>
  <c r="R234" i="4"/>
  <c r="U234" i="4" s="1"/>
  <c r="V234" i="4" s="1"/>
  <c r="S307" i="4"/>
  <c r="R307" i="4"/>
  <c r="U307" i="4" s="1"/>
  <c r="V307" i="4" s="1"/>
  <c r="T75" i="4"/>
  <c r="S9" i="4"/>
  <c r="R9" i="4"/>
  <c r="S211" i="4"/>
  <c r="T289" i="4"/>
  <c r="R51" i="4"/>
  <c r="U51" i="4" s="1"/>
  <c r="V51" i="4" s="1"/>
  <c r="T123" i="4"/>
  <c r="R315" i="4"/>
  <c r="U315" i="4" s="1"/>
  <c r="V315" i="4" s="1"/>
  <c r="R227" i="4"/>
  <c r="U227" i="4" s="1"/>
  <c r="V227" i="4" s="1"/>
  <c r="S227" i="4"/>
  <c r="T51" i="4"/>
  <c r="T299" i="4"/>
  <c r="R213" i="4"/>
  <c r="U213" i="4" s="1"/>
  <c r="V213" i="4" s="1"/>
  <c r="S213" i="4"/>
  <c r="T281" i="4"/>
  <c r="R172" i="4"/>
  <c r="U172" i="4" s="1"/>
  <c r="V172" i="4" s="1"/>
  <c r="S172" i="4"/>
  <c r="T21" i="4"/>
  <c r="R248" i="4"/>
  <c r="U248" i="4" s="1"/>
  <c r="V248" i="4" s="1"/>
  <c r="T72" i="4"/>
  <c r="K9" i="10"/>
  <c r="L6" i="10"/>
  <c r="S266" i="4"/>
  <c r="R266" i="4"/>
  <c r="U266" i="4" s="1"/>
  <c r="V266" i="4" s="1"/>
  <c r="R268" i="4"/>
  <c r="U268" i="4" s="1"/>
  <c r="V268" i="4" s="1"/>
  <c r="R119" i="4"/>
  <c r="U119" i="4" s="1"/>
  <c r="V119" i="4" s="1"/>
  <c r="S305" i="4"/>
  <c r="S152" i="4" l="1"/>
  <c r="S78" i="4"/>
  <c r="U92" i="4"/>
  <c r="V92" i="4" s="1"/>
  <c r="T92" i="4"/>
  <c r="S33" i="4"/>
  <c r="S293" i="4"/>
  <c r="R221" i="4"/>
  <c r="U83" i="4"/>
  <c r="S153" i="4"/>
  <c r="U47" i="4"/>
  <c r="V47" i="4" s="1"/>
  <c r="T47" i="4"/>
  <c r="M42" i="3"/>
  <c r="J39" i="3"/>
  <c r="S306" i="4"/>
  <c r="U226" i="4"/>
  <c r="V226" i="4" s="1"/>
  <c r="T226" i="4"/>
  <c r="U95" i="4"/>
  <c r="V95" i="4" s="1"/>
  <c r="T95" i="4"/>
  <c r="S316" i="4"/>
  <c r="S212" i="4"/>
  <c r="T152" i="4"/>
  <c r="S47" i="4"/>
  <c r="T130" i="4"/>
  <c r="S125" i="4"/>
  <c r="R323" i="4"/>
  <c r="U223" i="4"/>
  <c r="S166" i="4"/>
  <c r="T62" i="4"/>
  <c r="U18" i="4"/>
  <c r="V18" i="4" s="1"/>
  <c r="T18" i="4"/>
  <c r="S18" i="4"/>
  <c r="S314" i="4"/>
  <c r="S180" i="4"/>
  <c r="S95" i="4"/>
  <c r="S321" i="4"/>
  <c r="T250" i="4"/>
  <c r="T33" i="4"/>
  <c r="S252" i="4"/>
  <c r="S71" i="4"/>
  <c r="S178" i="4"/>
  <c r="U98" i="4"/>
  <c r="V98" i="4" s="1"/>
  <c r="T98" i="4"/>
  <c r="S116" i="4"/>
  <c r="S311" i="4"/>
  <c r="T129" i="4"/>
  <c r="T256" i="4"/>
  <c r="S118" i="4"/>
  <c r="S234" i="4"/>
  <c r="S225" i="4"/>
  <c r="S129" i="4"/>
  <c r="S126" i="4"/>
  <c r="S194" i="4"/>
  <c r="S72" i="4"/>
  <c r="T317" i="4"/>
  <c r="S280" i="4"/>
  <c r="S123" i="4"/>
  <c r="T243" i="4"/>
  <c r="T229" i="4"/>
  <c r="K11" i="10"/>
  <c r="L9" i="10"/>
  <c r="S83" i="4"/>
  <c r="S221" i="4" s="1"/>
  <c r="S109" i="4"/>
  <c r="T248" i="4"/>
  <c r="S251" i="4"/>
  <c r="T259" i="4"/>
  <c r="S99" i="4"/>
  <c r="S137" i="4"/>
  <c r="S149" i="4"/>
  <c r="S292" i="4"/>
  <c r="T231" i="4"/>
  <c r="T293" i="4"/>
  <c r="S163" i="4"/>
  <c r="S240" i="4"/>
  <c r="U151" i="4"/>
  <c r="V151" i="4" s="1"/>
  <c r="T151" i="4"/>
  <c r="S317" i="4"/>
  <c r="S298" i="4"/>
  <c r="S207" i="4"/>
  <c r="S155" i="4"/>
  <c r="S144" i="4"/>
  <c r="T252" i="4"/>
  <c r="S192" i="4"/>
  <c r="S248" i="4"/>
  <c r="T242" i="4"/>
  <c r="T178" i="4"/>
  <c r="S296" i="4"/>
  <c r="T125" i="4"/>
  <c r="S132" i="4"/>
  <c r="T276" i="4"/>
  <c r="S261" i="4"/>
  <c r="S257" i="4"/>
  <c r="S267" i="4"/>
  <c r="U54" i="4"/>
  <c r="V54" i="4" s="1"/>
  <c r="T54" i="4"/>
  <c r="S199" i="4"/>
  <c r="S259" i="4"/>
  <c r="S250" i="4"/>
  <c r="S238" i="4"/>
  <c r="T182" i="4"/>
  <c r="T69" i="4"/>
  <c r="S299" i="4"/>
  <c r="T144" i="4"/>
  <c r="T159" i="4"/>
  <c r="T261" i="4"/>
  <c r="S54" i="4"/>
  <c r="R81" i="4"/>
  <c r="U5" i="4"/>
  <c r="T5" i="4"/>
  <c r="T81" i="4" s="1"/>
  <c r="U114" i="4"/>
  <c r="V114" i="4" s="1"/>
  <c r="T114" i="4"/>
  <c r="S243" i="4"/>
  <c r="S186" i="4"/>
  <c r="S209" i="4"/>
  <c r="S263" i="4"/>
  <c r="T301" i="4"/>
  <c r="T228" i="4"/>
  <c r="S295" i="4"/>
  <c r="U173" i="4"/>
  <c r="V173" i="4" s="1"/>
  <c r="T173" i="4"/>
  <c r="S86" i="4"/>
  <c r="S229" i="4"/>
  <c r="S322" i="4"/>
  <c r="S304" i="4"/>
  <c r="S103" i="4"/>
  <c r="T172" i="4"/>
  <c r="T246" i="4"/>
  <c r="S281" i="4"/>
  <c r="T255" i="4"/>
  <c r="S287" i="4"/>
  <c r="T118" i="4"/>
  <c r="S290" i="4"/>
  <c r="S301" i="4"/>
  <c r="S232" i="4"/>
  <c r="T120" i="4"/>
  <c r="T320" i="4"/>
  <c r="T257" i="4"/>
  <c r="T294" i="4"/>
  <c r="T233" i="4"/>
  <c r="T241" i="4"/>
  <c r="T19" i="4"/>
  <c r="S173" i="4"/>
  <c r="U107" i="4"/>
  <c r="V107" i="4" s="1"/>
  <c r="T107" i="4"/>
  <c r="S76" i="4"/>
  <c r="S242" i="4"/>
  <c r="S146" i="4"/>
  <c r="U278" i="4"/>
  <c r="V278" i="4" s="1"/>
  <c r="T278" i="4"/>
  <c r="T288" i="4"/>
  <c r="S253" i="4"/>
  <c r="T90" i="4"/>
  <c r="T196" i="4"/>
  <c r="T91" i="4"/>
  <c r="S185" i="4"/>
  <c r="T282" i="4"/>
  <c r="T303" i="4"/>
  <c r="J9" i="6"/>
  <c r="J12" i="6" s="1"/>
  <c r="C10" i="8"/>
  <c r="B10" i="8" s="1"/>
  <c r="C4" i="11" s="1"/>
  <c r="C8" i="11" s="1"/>
  <c r="U88" i="4"/>
  <c r="V88" i="4" s="1"/>
  <c r="T88" i="4"/>
  <c r="S275" i="4"/>
  <c r="S13" i="4"/>
  <c r="T174" i="4"/>
  <c r="S107" i="4"/>
  <c r="U170" i="4"/>
  <c r="V170" i="4" s="1"/>
  <c r="T170" i="4"/>
  <c r="T188" i="4"/>
  <c r="S260" i="4"/>
  <c r="S278" i="4"/>
  <c r="T124" i="4"/>
  <c r="T212" i="4"/>
  <c r="U63" i="4"/>
  <c r="V63" i="4" s="1"/>
  <c r="T63" i="4"/>
  <c r="T136" i="4"/>
  <c r="S148" i="4"/>
  <c r="S200" i="4"/>
  <c r="T66" i="4"/>
  <c r="S127" i="4"/>
  <c r="T313" i="4"/>
  <c r="T260" i="4"/>
  <c r="U89" i="4"/>
  <c r="V89" i="4" s="1"/>
  <c r="T89" i="4"/>
  <c r="T273" i="4"/>
  <c r="T100" i="4"/>
  <c r="T224" i="4"/>
  <c r="T200" i="4"/>
  <c r="T40" i="4"/>
  <c r="S274" i="4"/>
  <c r="S115" i="4"/>
  <c r="T115" i="4"/>
  <c r="S228" i="4"/>
  <c r="T180" i="4"/>
  <c r="T283" i="4"/>
  <c r="T247" i="4"/>
  <c r="S74" i="4"/>
  <c r="L9" i="6"/>
  <c r="L12" i="6" s="1"/>
  <c r="L14" i="6" s="1"/>
  <c r="C13" i="8"/>
  <c r="M6" i="6"/>
  <c r="U93" i="4"/>
  <c r="V93" i="4" s="1"/>
  <c r="T93" i="4"/>
  <c r="T132" i="4"/>
  <c r="T297" i="4"/>
  <c r="T127" i="4"/>
  <c r="M7" i="6"/>
  <c r="D13" i="8"/>
  <c r="D16" i="8" s="1"/>
  <c r="S106" i="4"/>
  <c r="S70" i="4"/>
  <c r="S188" i="4"/>
  <c r="S239" i="4"/>
  <c r="S254" i="4"/>
  <c r="S93" i="4"/>
  <c r="S91" i="4"/>
  <c r="T193" i="4"/>
  <c r="T304" i="4"/>
  <c r="S160" i="4"/>
  <c r="S312" i="4"/>
  <c r="E12" i="8"/>
  <c r="E11" i="8"/>
  <c r="T149" i="4"/>
  <c r="S235" i="4"/>
  <c r="T42" i="4"/>
  <c r="T135" i="4"/>
  <c r="S224" i="4"/>
  <c r="T292" i="4"/>
  <c r="S264" i="4"/>
  <c r="S258" i="4"/>
  <c r="S15" i="4"/>
  <c r="K9" i="6"/>
  <c r="C12" i="8"/>
  <c r="C11" i="8"/>
  <c r="U8" i="4"/>
  <c r="V8" i="4" s="1"/>
  <c r="T8" i="4"/>
  <c r="T13" i="4"/>
  <c r="S62" i="4"/>
  <c r="S159" i="4"/>
  <c r="S42" i="4"/>
  <c r="T86" i="4"/>
  <c r="S21" i="4"/>
  <c r="S233" i="4"/>
  <c r="T238" i="4"/>
  <c r="T315" i="4"/>
  <c r="S8" i="4"/>
  <c r="M8" i="6"/>
  <c r="E13" i="8"/>
  <c r="E16" i="8" s="1"/>
  <c r="T70" i="4"/>
  <c r="S283" i="4"/>
  <c r="T235" i="4"/>
  <c r="T103" i="4"/>
  <c r="S150" i="4"/>
  <c r="T240" i="4"/>
  <c r="U22" i="4"/>
  <c r="V22" i="4" s="1"/>
  <c r="T22" i="4"/>
  <c r="T53" i="4"/>
  <c r="T74" i="4"/>
  <c r="T199" i="4"/>
  <c r="T83" i="4"/>
  <c r="T221" i="4" s="1"/>
  <c r="U237" i="4"/>
  <c r="V237" i="4" s="1"/>
  <c r="T237" i="4"/>
  <c r="T306" i="4"/>
  <c r="S217" i="4"/>
  <c r="S55" i="4"/>
  <c r="S100" i="4"/>
  <c r="T168" i="4"/>
  <c r="S90" i="4"/>
  <c r="T234" i="4"/>
  <c r="S17" i="4"/>
  <c r="S22" i="4"/>
  <c r="S179" i="4"/>
  <c r="T111" i="4"/>
  <c r="S108" i="4"/>
  <c r="S270" i="4"/>
  <c r="T26" i="4"/>
  <c r="T99" i="4"/>
  <c r="T177" i="4"/>
  <c r="U37" i="4"/>
  <c r="V37" i="4" s="1"/>
  <c r="T37" i="4"/>
  <c r="S128" i="4"/>
  <c r="U236" i="4"/>
  <c r="V236" i="4" s="1"/>
  <c r="T236" i="4"/>
  <c r="T314" i="4"/>
  <c r="T298" i="4"/>
  <c r="T223" i="4"/>
  <c r="T323" i="4" s="1"/>
  <c r="S184" i="4"/>
  <c r="T213" i="4"/>
  <c r="S131" i="4"/>
  <c r="T106" i="4"/>
  <c r="T134" i="4"/>
  <c r="U45" i="4"/>
  <c r="V45" i="4" s="1"/>
  <c r="T45" i="4"/>
  <c r="T109" i="4"/>
  <c r="S119" i="4"/>
  <c r="U9" i="4"/>
  <c r="V9" i="4" s="1"/>
  <c r="T9" i="4"/>
  <c r="S134" i="4"/>
  <c r="T280" i="4"/>
  <c r="S271" i="4"/>
  <c r="S183" i="4"/>
  <c r="S289" i="4"/>
  <c r="S215" i="4"/>
  <c r="S310" i="4"/>
  <c r="S43" i="4"/>
  <c r="U85" i="4"/>
  <c r="V85" i="4" s="1"/>
  <c r="T85" i="4"/>
  <c r="T307" i="4"/>
  <c r="T308" i="4"/>
  <c r="T197" i="4"/>
  <c r="T295" i="4"/>
  <c r="T225" i="4"/>
  <c r="T126" i="4"/>
  <c r="S120" i="4"/>
  <c r="T316" i="4"/>
  <c r="S104" i="4"/>
  <c r="T153" i="4"/>
  <c r="T216" i="4"/>
  <c r="T11" i="4"/>
  <c r="S85" i="4"/>
  <c r="T253" i="4"/>
  <c r="T58" i="4"/>
  <c r="D11" i="8"/>
  <c r="D12" i="8"/>
  <c r="S51" i="4"/>
  <c r="S268" i="4"/>
  <c r="S284" i="4"/>
  <c r="T284" i="4"/>
  <c r="T251" i="4"/>
  <c r="S216" i="4"/>
  <c r="S157" i="4"/>
  <c r="S94" i="4"/>
  <c r="T201" i="4"/>
  <c r="T116" i="4"/>
  <c r="S161" i="4"/>
  <c r="T214" i="4"/>
  <c r="U269" i="4"/>
  <c r="V269" i="4" s="1"/>
  <c r="T269" i="4"/>
  <c r="U302" i="4"/>
  <c r="V302" i="4" s="1"/>
  <c r="T302" i="4"/>
  <c r="S265" i="4"/>
  <c r="S171" i="4"/>
  <c r="U12" i="4"/>
  <c r="V12" i="4" s="1"/>
  <c r="T12" i="4"/>
  <c r="S279" i="4"/>
  <c r="T78" i="4"/>
  <c r="T275" i="4"/>
  <c r="S315" i="4"/>
  <c r="S182" i="4"/>
  <c r="U80" i="4"/>
  <c r="V80" i="4" s="1"/>
  <c r="T80" i="4"/>
  <c r="T290" i="4"/>
  <c r="S226" i="4"/>
  <c r="S19" i="4"/>
  <c r="U44" i="4"/>
  <c r="V44" i="4" s="1"/>
  <c r="T44" i="4"/>
  <c r="S320" i="4"/>
  <c r="S49" i="4"/>
  <c r="U323" i="4" l="1"/>
  <c r="Q323" i="4" s="1"/>
  <c r="V223" i="4"/>
  <c r="V323" i="4" s="1"/>
  <c r="F8" i="6"/>
  <c r="F7" i="6"/>
  <c r="F6" i="6"/>
  <c r="U81" i="4"/>
  <c r="Q81" i="4" s="1"/>
  <c r="V5" i="4"/>
  <c r="V81" i="4" s="1"/>
  <c r="E6" i="11"/>
  <c r="F6" i="11" s="1"/>
  <c r="L11" i="10"/>
  <c r="V83" i="4"/>
  <c r="V221" i="4" s="1"/>
  <c r="U221" i="4"/>
  <c r="Q221" i="4" s="1"/>
  <c r="D17" i="8"/>
  <c r="D18" i="8" s="1"/>
  <c r="D21" i="8"/>
  <c r="B11" i="8"/>
  <c r="B4" i="11" s="1"/>
  <c r="B8" i="11" s="1"/>
  <c r="B10" i="11" s="1"/>
  <c r="M9" i="6"/>
  <c r="M12" i="6" s="1"/>
  <c r="M14" i="6" s="1"/>
  <c r="C16" i="8"/>
  <c r="B13" i="8"/>
  <c r="E4" i="11" s="1"/>
  <c r="B12" i="8"/>
  <c r="K12" i="6"/>
  <c r="E21" i="8"/>
  <c r="E17" i="8"/>
  <c r="E18" i="8" s="1"/>
  <c r="C21" i="8" l="1"/>
  <c r="C17" i="8"/>
  <c r="B16" i="8"/>
  <c r="B21" i="8" s="1"/>
  <c r="E8" i="11"/>
  <c r="F8" i="11" s="1"/>
  <c r="F4" i="11"/>
  <c r="F12" i="11" s="1"/>
  <c r="C18" i="8" l="1"/>
  <c r="B18" i="8" s="1"/>
  <c r="B17" i="8"/>
</calcChain>
</file>

<file path=xl/sharedStrings.xml><?xml version="1.0" encoding="utf-8"?>
<sst xmlns="http://schemas.openxmlformats.org/spreadsheetml/2006/main" count="4803" uniqueCount="863">
  <si>
    <t>Blad 'Omreken'</t>
  </si>
  <si>
    <t>Dit blad mag niet worden gewijzigd!</t>
  </si>
  <si>
    <t>Type:</t>
  </si>
  <si>
    <t>Invultabel</t>
  </si>
  <si>
    <t xml:space="preserve">werkdag             </t>
  </si>
  <si>
    <t xml:space="preserve">per jaar: </t>
  </si>
  <si>
    <t xml:space="preserve">per week: </t>
  </si>
  <si>
    <t>FREQ</t>
  </si>
  <si>
    <t>FACTOR</t>
  </si>
  <si>
    <t>5W</t>
  </si>
  <si>
    <t>210J</t>
  </si>
  <si>
    <t>4W</t>
  </si>
  <si>
    <t>3W</t>
  </si>
  <si>
    <t>105J</t>
  </si>
  <si>
    <t>2W</t>
  </si>
  <si>
    <t>1W</t>
  </si>
  <si>
    <t>42J</t>
  </si>
  <si>
    <t>26J</t>
  </si>
  <si>
    <t>12J</t>
  </si>
  <si>
    <t>6J</t>
  </si>
  <si>
    <t>4J</t>
  </si>
  <si>
    <t>3J</t>
  </si>
  <si>
    <t>2J</t>
  </si>
  <si>
    <t>1J</t>
  </si>
  <si>
    <t xml:space="preserve">werkdag vakantie    </t>
  </si>
  <si>
    <t xml:space="preserve">weekenddag          </t>
  </si>
  <si>
    <t>NORM-CODE</t>
  </si>
  <si>
    <t>CATEGORIE</t>
  </si>
  <si>
    <t>DAGEN/JAAR</t>
  </si>
  <si>
    <t>OMSCHRIJVING</t>
  </si>
  <si>
    <t>PRODUCTIE-NORM</t>
  </si>
  <si>
    <t>% HOOG-FREQUENT</t>
  </si>
  <si>
    <t>EENHEID</t>
  </si>
  <si>
    <t>TARIEF (EURO)</t>
  </si>
  <si>
    <t xml:space="preserve">WERKDAG             </t>
  </si>
  <si>
    <t>GSHB</t>
  </si>
  <si>
    <t xml:space="preserve">G    </t>
  </si>
  <si>
    <t>Gymzalen/sportruimten/toestelberging - harde vloeren (basis)</t>
  </si>
  <si>
    <t>m²/uur</t>
  </si>
  <si>
    <t>GSHV</t>
  </si>
  <si>
    <t>Gymzalen/sportruimten/toestelberging - harde vloeren (volledig)</t>
  </si>
  <si>
    <t>GTHB</t>
  </si>
  <si>
    <t>Tribunes - harde vloeren (basis)</t>
  </si>
  <si>
    <t>GTHV</t>
  </si>
  <si>
    <t>Tribunes - harde vloeren (volledig)</t>
  </si>
  <si>
    <t>PKHB</t>
  </si>
  <si>
    <t xml:space="preserve">PK   </t>
  </si>
  <si>
    <t>Praktijk keuken - harde vloeren (basis)</t>
  </si>
  <si>
    <t>PKHV</t>
  </si>
  <si>
    <t>Praktijk keuken - harde vloeren (volledig)</t>
  </si>
  <si>
    <t>PWHB</t>
  </si>
  <si>
    <t xml:space="preserve">PW   </t>
  </si>
  <si>
    <t>Praktijk werkplaats - harde vloeren (basis)</t>
  </si>
  <si>
    <t>PWHV</t>
  </si>
  <si>
    <t>Praktijk werkplaats - harde vloeren (volledig)</t>
  </si>
  <si>
    <t>SDHB</t>
  </si>
  <si>
    <t xml:space="preserve">S    </t>
  </si>
  <si>
    <t>Douche/badkamer - harde vloeren (basis)</t>
  </si>
  <si>
    <t>SDHV</t>
  </si>
  <si>
    <t>Douche/badkamer - harde vloeren (volledig)</t>
  </si>
  <si>
    <t>SKHB</t>
  </si>
  <si>
    <t>Kleedruimten - harde vloeren (basis)</t>
  </si>
  <si>
    <t>SKHV</t>
  </si>
  <si>
    <t>Kleedruimten - harde vloeren (volledig)</t>
  </si>
  <si>
    <t>STHB</t>
  </si>
  <si>
    <t>Toiletten - harde vloeren (basis)</t>
  </si>
  <si>
    <t>STHV</t>
  </si>
  <si>
    <t>Toiletten - harde vloeren (volledig)</t>
  </si>
  <si>
    <t>SWHB</t>
  </si>
  <si>
    <t>Wasruimten - harde vloeren (basis)</t>
  </si>
  <si>
    <t>SWHV</t>
  </si>
  <si>
    <t>Wasruimten - harde vloeren (volledig)</t>
  </si>
  <si>
    <t>KAHB</t>
  </si>
  <si>
    <t xml:space="preserve">V    </t>
  </si>
  <si>
    <t>Aula/kantine - harde vloeren (basis)</t>
  </si>
  <si>
    <t>OAHB</t>
  </si>
  <si>
    <t>Opslag/archief/magazijn - harde vloeren (basis)</t>
  </si>
  <si>
    <t>VAHB</t>
  </si>
  <si>
    <t>Verkeer algemeen - harde vloeren (basis)</t>
  </si>
  <si>
    <t>KAHV</t>
  </si>
  <si>
    <t>Aula/kantine - harde vloeren (volledig)</t>
  </si>
  <si>
    <t>OAHV</t>
  </si>
  <si>
    <t>Opslag/archief/magazijn - harde vloeren (volledig)</t>
  </si>
  <si>
    <t>VAHV</t>
  </si>
  <si>
    <t>Verkeer algemeen - harde vloeren (volledig)</t>
  </si>
  <si>
    <t>VAZB</t>
  </si>
  <si>
    <t>Verkeer algemeen - zachte vloeren (basis)</t>
  </si>
  <si>
    <t>VAZV</t>
  </si>
  <si>
    <t>Verkeer algemeen - zachte vloeren (volledig)</t>
  </si>
  <si>
    <t>KDHB</t>
  </si>
  <si>
    <t>Docentenkamer - harde vloeren (basis)</t>
  </si>
  <si>
    <t>KDHV</t>
  </si>
  <si>
    <t>Docentenkamer - harde vloeren (volledig)</t>
  </si>
  <si>
    <t>KDZB</t>
  </si>
  <si>
    <t>Docentenkamer - zachte vloeren (basis)</t>
  </si>
  <si>
    <t>KDZV</t>
  </si>
  <si>
    <t>Docentenkamer - zachte vloeren (volledig)</t>
  </si>
  <si>
    <t>VEZB</t>
  </si>
  <si>
    <t>Entree - zachte vloeren (basis)</t>
  </si>
  <si>
    <t>VEZV</t>
  </si>
  <si>
    <t>Entree - zachte vloeren (volledig)</t>
  </si>
  <si>
    <t>KKHB</t>
  </si>
  <si>
    <t>Keuken - harde vloeren (basis)</t>
  </si>
  <si>
    <t>KKHV</t>
  </si>
  <si>
    <t>Keuken - harde vloeren (volledig)</t>
  </si>
  <si>
    <t>VOHB</t>
  </si>
  <si>
    <t>Verkeer overigen - harde vloeren (basis)</t>
  </si>
  <si>
    <t>VOHV</t>
  </si>
  <si>
    <t>Verkeer overigen - harde vloeren (volledig)</t>
  </si>
  <si>
    <t>VOZB</t>
  </si>
  <si>
    <t>Verkeer overigen - zachte vloeren (basis)</t>
  </si>
  <si>
    <t>VOZV</t>
  </si>
  <si>
    <t>Verkeer overigen - zachte vloeren (volledig)</t>
  </si>
  <si>
    <t>VTHB</t>
  </si>
  <si>
    <t>Trap - harde vloeren (basis)</t>
  </si>
  <si>
    <t>VTHV</t>
  </si>
  <si>
    <t>Trap - harde vloeren (volledig)</t>
  </si>
  <si>
    <t>MAHB</t>
  </si>
  <si>
    <t xml:space="preserve">W    </t>
  </si>
  <si>
    <t>Mediatheek/bibliotheek- harde vloeren (basis)</t>
  </si>
  <si>
    <t>PAHB</t>
  </si>
  <si>
    <t>Praktijk atelier - harde vloeren (basis)</t>
  </si>
  <si>
    <t>MAHV</t>
  </si>
  <si>
    <t>Mediatheek/bibliotheek- harde vloeren (volledig)</t>
  </si>
  <si>
    <t>PAHV</t>
  </si>
  <si>
    <t>Praktijk atelier - harde vloeren (volledig)</t>
  </si>
  <si>
    <t>BKHB</t>
  </si>
  <si>
    <t>Bureaukamers - harde vloeren (basis)</t>
  </si>
  <si>
    <t>BKHV</t>
  </si>
  <si>
    <t>Bureaukamers - harde vloeren (volledig)</t>
  </si>
  <si>
    <t>BKZB</t>
  </si>
  <si>
    <t>Bureaukamers - zachte vloeren (basis)</t>
  </si>
  <si>
    <t>BKZV</t>
  </si>
  <si>
    <t>Bureaukamers - zachte vloeren (volledig)</t>
  </si>
  <si>
    <t>LLHB</t>
  </si>
  <si>
    <t>Leslokaal - harde vloeren (basis)</t>
  </si>
  <si>
    <t>PLHB</t>
  </si>
  <si>
    <t>Praktijk labs - harde vloeren (basis)</t>
  </si>
  <si>
    <t>LLHV</t>
  </si>
  <si>
    <t>Leslokaal - harde vloeren (volledig)</t>
  </si>
  <si>
    <t>PLHV</t>
  </si>
  <si>
    <t>Praktijk labs - harde vloeren (volledig)</t>
  </si>
  <si>
    <t>LLZB</t>
  </si>
  <si>
    <t>Leslokaal - zachte vloeren (basis)</t>
  </si>
  <si>
    <t>LLZV</t>
  </si>
  <si>
    <t>Leslokaal - zachte vloeren (volledig)</t>
  </si>
  <si>
    <t>LOHB</t>
  </si>
  <si>
    <t>Open leerruimten - harde vloeren (basis)</t>
  </si>
  <si>
    <t>LOHV</t>
  </si>
  <si>
    <t>Open leerruimten - harde vloeren (volledig)</t>
  </si>
  <si>
    <t>PSHB</t>
  </si>
  <si>
    <t>Praktijk standaard - harde vloeren (basis)</t>
  </si>
  <si>
    <t>PSHV</t>
  </si>
  <si>
    <t>Praktijk standaard - harde vloeren (volledig)</t>
  </si>
  <si>
    <t>TAAK</t>
  </si>
  <si>
    <t>WERK- SOORT</t>
  </si>
  <si>
    <t>OPP OF AANTAL</t>
  </si>
  <si>
    <t>OPP OF AANTAL /DAG</t>
  </si>
  <si>
    <t>UREN/ DAG</t>
  </si>
  <si>
    <t>PRIJS/ DAG</t>
  </si>
  <si>
    <t>UREN/ JAAR</t>
  </si>
  <si>
    <t>PRIJS/ JAAR</t>
  </si>
  <si>
    <t>BKH</t>
  </si>
  <si>
    <t>interieur</t>
  </si>
  <si>
    <t>Bureaukamers - harde vloeren</t>
  </si>
  <si>
    <t>BKZ</t>
  </si>
  <si>
    <t>Bureaukamers - zachte vloeren</t>
  </si>
  <si>
    <t>GSH</t>
  </si>
  <si>
    <t>Gymzaal/sportruimten/toestelberging - harde vloeren</t>
  </si>
  <si>
    <t>GTH</t>
  </si>
  <si>
    <t>Tribune - harde vloeren</t>
  </si>
  <si>
    <t>KAH</t>
  </si>
  <si>
    <t>Aula/kantine - harde vloeren</t>
  </si>
  <si>
    <t>KDH</t>
  </si>
  <si>
    <t>Docentenkamer - harde vloeren</t>
  </si>
  <si>
    <t>KDZ</t>
  </si>
  <si>
    <t>Docentenkamer - zachte vloeren</t>
  </si>
  <si>
    <t>KKH</t>
  </si>
  <si>
    <t>Keuken - harde vloeren</t>
  </si>
  <si>
    <t>LLH</t>
  </si>
  <si>
    <t>Leslokaal - harde vloeren</t>
  </si>
  <si>
    <t>LLZ</t>
  </si>
  <si>
    <t>Leslokaal - zachte vloeren</t>
  </si>
  <si>
    <t>LOH</t>
  </si>
  <si>
    <t>Open studieruimten - harde vloeren</t>
  </si>
  <si>
    <t>MAH</t>
  </si>
  <si>
    <t>Mediatheek/bibliotheek - harde vloeren</t>
  </si>
  <si>
    <t>OAH</t>
  </si>
  <si>
    <t>Opslag/archief/magazijn - harde vloeren</t>
  </si>
  <si>
    <t>PAH</t>
  </si>
  <si>
    <t>Praktijklokaal atelier - harde vloeren</t>
  </si>
  <si>
    <t>PKH</t>
  </si>
  <si>
    <t>Praktijklokaal keuken - harde vloeren</t>
  </si>
  <si>
    <t>PLH</t>
  </si>
  <si>
    <t>Praktijklokaal labs - harde vloeren</t>
  </si>
  <si>
    <t>PSH</t>
  </si>
  <si>
    <t>Praktijklokaal standaard - harde vloeren</t>
  </si>
  <si>
    <t>PWH</t>
  </si>
  <si>
    <t>Praktijklokaal werkplaats - harde vloeren</t>
  </si>
  <si>
    <t>SDH</t>
  </si>
  <si>
    <t>Douche - harde vloeren</t>
  </si>
  <si>
    <t>SKH</t>
  </si>
  <si>
    <t>Kleedruimte - harde vloeren</t>
  </si>
  <si>
    <t>STH</t>
  </si>
  <si>
    <t>Toilet - harde vloeren</t>
  </si>
  <si>
    <t>SWH</t>
  </si>
  <si>
    <t>Wasruimten - harde vloeren</t>
  </si>
  <si>
    <t>VAH</t>
  </si>
  <si>
    <t>Verkeer algemeen - harde vloeren</t>
  </si>
  <si>
    <t>VAZ</t>
  </si>
  <si>
    <t>Verkeer algemeen - zachte vloeren</t>
  </si>
  <si>
    <t>VEZ</t>
  </si>
  <si>
    <t>Entree - zachte vloeren</t>
  </si>
  <si>
    <t>VOH</t>
  </si>
  <si>
    <t>Verkeer overigen - harde vloeren</t>
  </si>
  <si>
    <t>VOZ</t>
  </si>
  <si>
    <t>Verkeer overigen - zachte vloeren</t>
  </si>
  <si>
    <t>VTH</t>
  </si>
  <si>
    <t>Trap - harde vloeren</t>
  </si>
  <si>
    <t xml:space="preserve">Totaal werkdag             </t>
  </si>
  <si>
    <t xml:space="preserve">Gemiddeld uurtarief werkdag             </t>
  </si>
  <si>
    <t>Totaal regulier werk excl. BTW</t>
  </si>
  <si>
    <t>OBJECT</t>
  </si>
  <si>
    <t>BOUW-DEEL</t>
  </si>
  <si>
    <t>ETAGE</t>
  </si>
  <si>
    <t>RUIMTENR</t>
  </si>
  <si>
    <t>RUIMTENAAM</t>
  </si>
  <si>
    <t>VLOER</t>
  </si>
  <si>
    <t>WERK-SOORT</t>
  </si>
  <si>
    <t>VSR</t>
  </si>
  <si>
    <t>KOSTENPLAATS</t>
  </si>
  <si>
    <t>UREN HOOG-FREQUENT/ DAG</t>
  </si>
  <si>
    <t>156 - Tongerlo, Norbertus Gertrudis Mavo, Vincentiusstraat 51, ROOSENDAAL</t>
  </si>
  <si>
    <t>156</t>
  </si>
  <si>
    <t/>
  </si>
  <si>
    <t>00</t>
  </si>
  <si>
    <t>0.01</t>
  </si>
  <si>
    <t>Hoofdentree</t>
  </si>
  <si>
    <t>schoonloopmat</t>
  </si>
  <si>
    <t>V</t>
  </si>
  <si>
    <t>0.01A</t>
  </si>
  <si>
    <t>Trappenhuis</t>
  </si>
  <si>
    <t>tegels</t>
  </si>
  <si>
    <t>0.02</t>
  </si>
  <si>
    <t>Toilet Heren</t>
  </si>
  <si>
    <t>harde vloer antislip</t>
  </si>
  <si>
    <t>S</t>
  </si>
  <si>
    <t>0.02A</t>
  </si>
  <si>
    <t>Leerlingentree</t>
  </si>
  <si>
    <t>inloopmat</t>
  </si>
  <si>
    <t>0.02B</t>
  </si>
  <si>
    <t>Aula</t>
  </si>
  <si>
    <t>pvc</t>
  </si>
  <si>
    <t>0.03</t>
  </si>
  <si>
    <t>Toilet Dames</t>
  </si>
  <si>
    <t>0.03A</t>
  </si>
  <si>
    <t>Gangzone</t>
  </si>
  <si>
    <t>0.04</t>
  </si>
  <si>
    <t>0.04A</t>
  </si>
  <si>
    <t>Kantoor administratie</t>
  </si>
  <si>
    <t>tapijt</t>
  </si>
  <si>
    <t>B</t>
  </si>
  <si>
    <t>0.04B</t>
  </si>
  <si>
    <t>Receptie</t>
  </si>
  <si>
    <t>0.04D</t>
  </si>
  <si>
    <t>Reproruimte</t>
  </si>
  <si>
    <t>0.05</t>
  </si>
  <si>
    <t>Toilet dames</t>
  </si>
  <si>
    <t>0.05A</t>
  </si>
  <si>
    <t>Gang Leerpleinen Rekencentrum</t>
  </si>
  <si>
    <t>dhgt</t>
  </si>
  <si>
    <t>0.06</t>
  </si>
  <si>
    <t>Lokaal Rekencentrum</t>
  </si>
  <si>
    <t>L</t>
  </si>
  <si>
    <t>0.07</t>
  </si>
  <si>
    <t>0.08</t>
  </si>
  <si>
    <t>0.09</t>
  </si>
  <si>
    <t>Trappenhuis / Gang</t>
  </si>
  <si>
    <t>0.10</t>
  </si>
  <si>
    <t>Lokaal Techno Mavo</t>
  </si>
  <si>
    <t>0.11</t>
  </si>
  <si>
    <t>0.12</t>
  </si>
  <si>
    <t>Klaslokaal Beroepencentrum</t>
  </si>
  <si>
    <t>0.14</t>
  </si>
  <si>
    <t>Gang Locker / Garderoberuimte</t>
  </si>
  <si>
    <t>0.15A</t>
  </si>
  <si>
    <t>Klaslokaal Natuurcentrum</t>
  </si>
  <si>
    <t>0.15B</t>
  </si>
  <si>
    <t>Werkplekken Natuurcentrum</t>
  </si>
  <si>
    <t>0.16A</t>
  </si>
  <si>
    <t>0.16B</t>
  </si>
  <si>
    <t>0.17</t>
  </si>
  <si>
    <t>Opslag Natuurcentrum / Werkplek Docent T</t>
  </si>
  <si>
    <t>0.18</t>
  </si>
  <si>
    <t>Kantoor directeur</t>
  </si>
  <si>
    <t>0.19</t>
  </si>
  <si>
    <t>Kantoor teamleiders</t>
  </si>
  <si>
    <t>0.20</t>
  </si>
  <si>
    <t>Concierge / EHBO</t>
  </si>
  <si>
    <t>0.21</t>
  </si>
  <si>
    <t>Gang</t>
  </si>
  <si>
    <t>0.22</t>
  </si>
  <si>
    <t>Gang CKV</t>
  </si>
  <si>
    <t>0.23</t>
  </si>
  <si>
    <t>Cultuurcentrum Muziek / Dans / Drama</t>
  </si>
  <si>
    <t>0.24</t>
  </si>
  <si>
    <t>Cultuurcentrum Muziek / Studio</t>
  </si>
  <si>
    <t>0.25</t>
  </si>
  <si>
    <t>Cultuurcentrum Teken / Handarbeid</t>
  </si>
  <si>
    <t>0.25A</t>
  </si>
  <si>
    <t>Natte hoek</t>
  </si>
  <si>
    <t>0.26</t>
  </si>
  <si>
    <t>Gangzone sport</t>
  </si>
  <si>
    <t>0.27A</t>
  </si>
  <si>
    <t>Kleedruimte Docent</t>
  </si>
  <si>
    <t>0.27B</t>
  </si>
  <si>
    <t>Douche Docent</t>
  </si>
  <si>
    <t>0.28</t>
  </si>
  <si>
    <t>Kleedruimte Dames</t>
  </si>
  <si>
    <t>0.28A</t>
  </si>
  <si>
    <t>0.28B</t>
  </si>
  <si>
    <t>Douche Dames</t>
  </si>
  <si>
    <t>0.29</t>
  </si>
  <si>
    <t>Kleedruimte Heren</t>
  </si>
  <si>
    <t>0.29A</t>
  </si>
  <si>
    <t>0.29B</t>
  </si>
  <si>
    <t>Douche Heren</t>
  </si>
  <si>
    <t>0.31A</t>
  </si>
  <si>
    <t>Gymzaal</t>
  </si>
  <si>
    <t>sportvloer</t>
  </si>
  <si>
    <t>0.31B</t>
  </si>
  <si>
    <t>Materiaalberging</t>
  </si>
  <si>
    <t>0.31C</t>
  </si>
  <si>
    <t>0.31D</t>
  </si>
  <si>
    <t>0.34</t>
  </si>
  <si>
    <t>Vluchttrap</t>
  </si>
  <si>
    <t>beton</t>
  </si>
  <si>
    <t>T.0.04</t>
  </si>
  <si>
    <t>MIVA</t>
  </si>
  <si>
    <t>T.0.05</t>
  </si>
  <si>
    <t>T.0.06</t>
  </si>
  <si>
    <t>01</t>
  </si>
  <si>
    <t>1,01</t>
  </si>
  <si>
    <t>Trappenhuis/gang</t>
  </si>
  <si>
    <t>1.02</t>
  </si>
  <si>
    <t>Lokaal Talencentrum</t>
  </si>
  <si>
    <t>1.03</t>
  </si>
  <si>
    <t>1.04</t>
  </si>
  <si>
    <t>1.05</t>
  </si>
  <si>
    <t>1.06</t>
  </si>
  <si>
    <t>Gang Leerplein Talencentrum</t>
  </si>
  <si>
    <t>1.07</t>
  </si>
  <si>
    <t>Gang  / Trappenhuis</t>
  </si>
  <si>
    <t>1.09</t>
  </si>
  <si>
    <t>Coordinatoren</t>
  </si>
  <si>
    <t>1.10</t>
  </si>
  <si>
    <t>Keuken</t>
  </si>
  <si>
    <t>1.11</t>
  </si>
  <si>
    <t>1.11A</t>
  </si>
  <si>
    <t>Gang sanitair</t>
  </si>
  <si>
    <t>1.12</t>
  </si>
  <si>
    <t>Docentenkamer</t>
  </si>
  <si>
    <t>1.13</t>
  </si>
  <si>
    <t>Stiltelokaal</t>
  </si>
  <si>
    <t>1.14</t>
  </si>
  <si>
    <t>Maatschappelijk centrum</t>
  </si>
  <si>
    <t>1.15</t>
  </si>
  <si>
    <t>1.16</t>
  </si>
  <si>
    <t>1.17</t>
  </si>
  <si>
    <t>Leerplein</t>
  </si>
  <si>
    <t>1.19</t>
  </si>
  <si>
    <t>Decaan / Roostermaker</t>
  </si>
  <si>
    <t>1.20</t>
  </si>
  <si>
    <t>Overlegruimte</t>
  </si>
  <si>
    <t>1.21</t>
  </si>
  <si>
    <t>T.1.01</t>
  </si>
  <si>
    <t>Toilet Personeel D</t>
  </si>
  <si>
    <t>T.1.02</t>
  </si>
  <si>
    <t>Toilet Personeel A</t>
  </si>
  <si>
    <t>T.1.03</t>
  </si>
  <si>
    <t>Toilet Personeel H</t>
  </si>
  <si>
    <t>T.1.04</t>
  </si>
  <si>
    <t>Totaal werkdag</t>
  </si>
  <si>
    <t>157 - Tongerlo, Norbertus Gertrudis Lyceum, Bovendonk 115, ROOSENDAAL</t>
  </si>
  <si>
    <t>157</t>
  </si>
  <si>
    <t>0.00</t>
  </si>
  <si>
    <t>Alle gangen in het pand</t>
  </si>
  <si>
    <t>lino/tegels</t>
  </si>
  <si>
    <t>Toiletten</t>
  </si>
  <si>
    <t>Kleedruimten</t>
  </si>
  <si>
    <t>Douches</t>
  </si>
  <si>
    <t>Toilet</t>
  </si>
  <si>
    <t>Werkkast</t>
  </si>
  <si>
    <t>0.13</t>
  </si>
  <si>
    <t>Kleedruimte</t>
  </si>
  <si>
    <t>0.15</t>
  </si>
  <si>
    <t>0.16</t>
  </si>
  <si>
    <t>Muziek</t>
  </si>
  <si>
    <t>linoleum</t>
  </si>
  <si>
    <t>Tekenen</t>
  </si>
  <si>
    <t>Partijklokaal CKV</t>
  </si>
  <si>
    <t>Theorielokaal</t>
  </si>
  <si>
    <t>0.27</t>
  </si>
  <si>
    <t>Podium + 1000</t>
  </si>
  <si>
    <t>Sportzaal</t>
  </si>
  <si>
    <t>0.30</t>
  </si>
  <si>
    <t>Bergruimte</t>
  </si>
  <si>
    <t>0.31</t>
  </si>
  <si>
    <t>0.32</t>
  </si>
  <si>
    <t>0.33</t>
  </si>
  <si>
    <t>0.35</t>
  </si>
  <si>
    <t>Roostermakers</t>
  </si>
  <si>
    <t>0.36</t>
  </si>
  <si>
    <t>Decaan</t>
  </si>
  <si>
    <t>0.37</t>
  </si>
  <si>
    <t>0.38</t>
  </si>
  <si>
    <t>Concierge</t>
  </si>
  <si>
    <t>0.39</t>
  </si>
  <si>
    <t>Printer</t>
  </si>
  <si>
    <t>0.40</t>
  </si>
  <si>
    <t>Personeelskamer</t>
  </si>
  <si>
    <t>0.41</t>
  </si>
  <si>
    <t>Gaderobe personeel</t>
  </si>
  <si>
    <t>0.42</t>
  </si>
  <si>
    <t>Personeelskamer serre</t>
  </si>
  <si>
    <t>0.43</t>
  </si>
  <si>
    <t>0.44</t>
  </si>
  <si>
    <t>Spreekkamer</t>
  </si>
  <si>
    <t>0.45</t>
  </si>
  <si>
    <t>Directeur</t>
  </si>
  <si>
    <t>0.46</t>
  </si>
  <si>
    <t>Kantoor</t>
  </si>
  <si>
    <t>0.47</t>
  </si>
  <si>
    <t>Administratie</t>
  </si>
  <si>
    <t>0.48</t>
  </si>
  <si>
    <t>0.49</t>
  </si>
  <si>
    <t>0.50</t>
  </si>
  <si>
    <t>0.51</t>
  </si>
  <si>
    <t>Systeembeheer</t>
  </si>
  <si>
    <t>0.52</t>
  </si>
  <si>
    <t>0.53</t>
  </si>
  <si>
    <t>0.71</t>
  </si>
  <si>
    <t>Gaderobe geel</t>
  </si>
  <si>
    <t>0.72</t>
  </si>
  <si>
    <t>Gaderobe rood</t>
  </si>
  <si>
    <t>0.74</t>
  </si>
  <si>
    <t>Gaderobe blauw</t>
  </si>
  <si>
    <t>0.75</t>
  </si>
  <si>
    <t>Gangen</t>
  </si>
  <si>
    <t>0.76</t>
  </si>
  <si>
    <t>0.77</t>
  </si>
  <si>
    <t>0.78</t>
  </si>
  <si>
    <t>0.79</t>
  </si>
  <si>
    <t>0.80</t>
  </si>
  <si>
    <t>Mediatheek</t>
  </si>
  <si>
    <t>0.81</t>
  </si>
  <si>
    <t>0.82</t>
  </si>
  <si>
    <t>Techniek</t>
  </si>
  <si>
    <t>0.83</t>
  </si>
  <si>
    <t>1.01</t>
  </si>
  <si>
    <t>Lokaal</t>
  </si>
  <si>
    <t>1.08</t>
  </si>
  <si>
    <t>1.18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</si>
  <si>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</si>
  <si>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</si>
  <si>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</si>
  <si>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</si>
  <si>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</si>
  <si>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</si>
  <si>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</si>
  <si>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</si>
  <si>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</si>
  <si>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</si>
  <si>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1.37</t>
  </si>
  <si>
    <t>Praktijklokaal</t>
  </si>
  <si>
    <t>1.38</t>
  </si>
  <si>
    <t>Biologie</t>
  </si>
  <si>
    <t>1.39</t>
  </si>
  <si>
    <t>Natuurkunde</t>
  </si>
  <si>
    <t>1.40</t>
  </si>
  <si>
    <t>Toa-ruimte</t>
  </si>
  <si>
    <t>1.41</t>
  </si>
  <si>
    <t>1.42</t>
  </si>
  <si>
    <t>Kabinet natuurkunde</t>
  </si>
  <si>
    <t>1.43</t>
  </si>
  <si>
    <t>Werkplaats Amanuenses</t>
  </si>
  <si>
    <t>1.45</t>
  </si>
  <si>
    <t>1.46</t>
  </si>
  <si>
    <t>Kabinet scheikunde</t>
  </si>
  <si>
    <t>1.47</t>
  </si>
  <si>
    <t>1.48</t>
  </si>
  <si>
    <t>1.49</t>
  </si>
  <si>
    <t>1.50</t>
  </si>
  <si>
    <t>02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</si>
  <si>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</si>
  <si>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</si>
  <si>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</si>
  <si>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</si>
  <si>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</si>
  <si>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</si>
  <si>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</si>
  <si>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</si>
  <si>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</si>
  <si>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</si>
  <si>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</si>
  <si>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</si>
  <si>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</si>
  <si>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</si>
  <si>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</si>
  <si>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</si>
  <si>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</si>
  <si>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</si>
  <si>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</si>
  <si>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</si>
  <si>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</si>
  <si>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</si>
  <si>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</si>
  <si>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</si>
  <si>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</si>
  <si>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</si>
  <si>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</si>
  <si>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</si>
  <si>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</si>
  <si>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158 - Tongerlo, Da Vinci College, Bovendonk 1, ROOSENDAAL</t>
  </si>
  <si>
    <t>158</t>
  </si>
  <si>
    <t>00.01.02</t>
  </si>
  <si>
    <t>00.01.03</t>
  </si>
  <si>
    <t>00.01.08</t>
  </si>
  <si>
    <t>Aankomsthal PRO verkeersruimte</t>
  </si>
  <si>
    <t>00.01.09</t>
  </si>
  <si>
    <t>Entree</t>
  </si>
  <si>
    <t>00.01.10</t>
  </si>
  <si>
    <t>00.02.12</t>
  </si>
  <si>
    <t>00.02.13</t>
  </si>
  <si>
    <t>PRO terras 1/3</t>
  </si>
  <si>
    <t>00.02.14</t>
  </si>
  <si>
    <t>PRO terras 2/3</t>
  </si>
  <si>
    <t>00.02.15</t>
  </si>
  <si>
    <t>PRO lesruimte</t>
  </si>
  <si>
    <t>00.02.16</t>
  </si>
  <si>
    <t>00.02.17</t>
  </si>
  <si>
    <t>00.02.18</t>
  </si>
  <si>
    <t>PRO clubhuis 1/2 verkeersruimte</t>
  </si>
  <si>
    <t>00.02.19</t>
  </si>
  <si>
    <t>PRO straat verkeersruimte</t>
  </si>
  <si>
    <t>00.02.20</t>
  </si>
  <si>
    <t>PRO internetcafe 1/2</t>
  </si>
  <si>
    <t>00.02.21</t>
  </si>
  <si>
    <t>Techniek clubhuis verkeersruimte</t>
  </si>
  <si>
    <t>00.02.22</t>
  </si>
  <si>
    <t>00.02.23</t>
  </si>
  <si>
    <t>Techniek lesruimte</t>
  </si>
  <si>
    <t>00.02.24</t>
  </si>
  <si>
    <t>00.02.25</t>
  </si>
  <si>
    <t>00.02.26</t>
  </si>
  <si>
    <t>00.03.03</t>
  </si>
  <si>
    <t>Spreekruimte</t>
  </si>
  <si>
    <t>00.03.04</t>
  </si>
  <si>
    <t>00.03.05</t>
  </si>
  <si>
    <t>Leerlingenkamer</t>
  </si>
  <si>
    <t>00.03.07</t>
  </si>
  <si>
    <t>00.03.08</t>
  </si>
  <si>
    <t>00.03.11</t>
  </si>
  <si>
    <t>00.04.06</t>
  </si>
  <si>
    <t>gietvloer</t>
  </si>
  <si>
    <t>00.04.07</t>
  </si>
  <si>
    <t>Jongenstoilet</t>
  </si>
  <si>
    <t>00.04.08</t>
  </si>
  <si>
    <t>Meisjestoilet</t>
  </si>
  <si>
    <t>00.04.09</t>
  </si>
  <si>
    <t>00.04.10</t>
  </si>
  <si>
    <t>00.05.05</t>
  </si>
  <si>
    <t>Personeelstoilet</t>
  </si>
  <si>
    <t>01.01.03</t>
  </si>
  <si>
    <t>01.01.07</t>
  </si>
  <si>
    <t>01.01.09</t>
  </si>
  <si>
    <t>Aankomsthal VMBO binnenstraat /  bouleva</t>
  </si>
  <si>
    <t>01.01.10</t>
  </si>
  <si>
    <t>Verkeersrruimte</t>
  </si>
  <si>
    <t>01.02.04</t>
  </si>
  <si>
    <t>Theater /  podium</t>
  </si>
  <si>
    <t>01.02.07</t>
  </si>
  <si>
    <t>PRO internetcafe 2/2</t>
  </si>
  <si>
    <t>01.02.09</t>
  </si>
  <si>
    <t>PRO clubhuis 2/2 verkeersruimte</t>
  </si>
  <si>
    <t>01.02.10</t>
  </si>
  <si>
    <t>01.02.11</t>
  </si>
  <si>
    <t>01.02.12</t>
  </si>
  <si>
    <t>01.02.13</t>
  </si>
  <si>
    <t>01.02.14</t>
  </si>
  <si>
    <t>M&amp;D straat</t>
  </si>
  <si>
    <t>01.02.15</t>
  </si>
  <si>
    <t>M&amp;D clubhuis verkeersruimte</t>
  </si>
  <si>
    <t>01.02.16</t>
  </si>
  <si>
    <t>M&amp;D lesruimte</t>
  </si>
  <si>
    <t>01.02.17</t>
  </si>
  <si>
    <t>01.02.18</t>
  </si>
  <si>
    <t>01.02.19</t>
  </si>
  <si>
    <t>01.02.20</t>
  </si>
  <si>
    <t>01.02.21</t>
  </si>
  <si>
    <t>Vergadercentrum lesruimte</t>
  </si>
  <si>
    <t>01.02.22</t>
  </si>
  <si>
    <t>Vergadercentrum projectruimte SDV</t>
  </si>
  <si>
    <t>01.02.23</t>
  </si>
  <si>
    <t>01.02.24</t>
  </si>
  <si>
    <t>01.02.25</t>
  </si>
  <si>
    <t>01.02.26</t>
  </si>
  <si>
    <t>01.02.27</t>
  </si>
  <si>
    <t>01.03.05</t>
  </si>
  <si>
    <t>bolon</t>
  </si>
  <si>
    <t>01.03.06</t>
  </si>
  <si>
    <t>01.03.07</t>
  </si>
  <si>
    <t>01.03.08</t>
  </si>
  <si>
    <t>01.03.09</t>
  </si>
  <si>
    <t>01.03.12</t>
  </si>
  <si>
    <t>01.04.09</t>
  </si>
  <si>
    <t>jongenstoilet</t>
  </si>
  <si>
    <t>01.04.10</t>
  </si>
  <si>
    <t>meisjestoilet</t>
  </si>
  <si>
    <t>01.04.11</t>
  </si>
  <si>
    <t>01.04.12</t>
  </si>
  <si>
    <t>01.04.13</t>
  </si>
  <si>
    <t>01.04.14</t>
  </si>
  <si>
    <t>01.04.17</t>
  </si>
  <si>
    <t>02.02.03</t>
  </si>
  <si>
    <t>PRO algemeen</t>
  </si>
  <si>
    <t>02.02.04</t>
  </si>
  <si>
    <t>Praktijkomgeving</t>
  </si>
  <si>
    <t>02.02.05</t>
  </si>
  <si>
    <t>Kleinkeuken</t>
  </si>
  <si>
    <t>02.02.06</t>
  </si>
  <si>
    <t>Ziekenhuis verpleeghuis</t>
  </si>
  <si>
    <t>02.02.07</t>
  </si>
  <si>
    <t>EHBO verpleeghuis</t>
  </si>
  <si>
    <t>02.02.08</t>
  </si>
  <si>
    <t>02.02.09</t>
  </si>
  <si>
    <t>Schoonheidssalon</t>
  </si>
  <si>
    <t>02.02.10</t>
  </si>
  <si>
    <t>Kapsalon</t>
  </si>
  <si>
    <t>02.02.11</t>
  </si>
  <si>
    <t>Opvanghuis basisschool kindcentrum</t>
  </si>
  <si>
    <t>02.02.12</t>
  </si>
  <si>
    <t>Gehandicapten</t>
  </si>
  <si>
    <t>02.02.13</t>
  </si>
  <si>
    <t>Ouderen</t>
  </si>
  <si>
    <t>02.02.14</t>
  </si>
  <si>
    <t>Gezinnen</t>
  </si>
  <si>
    <t>02.02.15</t>
  </si>
  <si>
    <t>Knutselhoek</t>
  </si>
  <si>
    <t>02.02.16</t>
  </si>
  <si>
    <t>Clubhuis divers verkeersruimte</t>
  </si>
  <si>
    <t>02.02.17</t>
  </si>
  <si>
    <t>Z&amp;W lesruimte</t>
  </si>
  <si>
    <t>02.02.18</t>
  </si>
  <si>
    <t>02.02.19</t>
  </si>
  <si>
    <t>02.02.20</t>
  </si>
  <si>
    <t>Gezondheidscentrum BINAS</t>
  </si>
  <si>
    <t>02.02.21</t>
  </si>
  <si>
    <t>02.02.22</t>
  </si>
  <si>
    <t>Gezondheidscentrum verkeersruimte</t>
  </si>
  <si>
    <t>02.02.24</t>
  </si>
  <si>
    <t>Instructieruimte &amp; wassen</t>
  </si>
  <si>
    <t>02.03.08</t>
  </si>
  <si>
    <t>Was</t>
  </si>
  <si>
    <t>02.03.09</t>
  </si>
  <si>
    <t>02.03.14</t>
  </si>
  <si>
    <t>02.04.03</t>
  </si>
  <si>
    <t>02.04.04</t>
  </si>
  <si>
    <t>02.04.05</t>
  </si>
  <si>
    <t>02.04.06</t>
  </si>
  <si>
    <t>02.04.07</t>
  </si>
  <si>
    <t>02.06.02</t>
  </si>
  <si>
    <t>Linnen</t>
  </si>
  <si>
    <t>Omrekentabel t.b.v. Invultabel Objecten (niet afdrukken)</t>
  </si>
  <si>
    <t>DAGSOORT</t>
  </si>
  <si>
    <t>WERKSOORT</t>
  </si>
  <si>
    <t>FREQ DECIMAAL</t>
  </si>
  <si>
    <t>UURFACTOR</t>
  </si>
  <si>
    <t>KENGETAL</t>
  </si>
  <si>
    <t>TARIEF</t>
  </si>
  <si>
    <t xml:space="preserve">     156</t>
  </si>
  <si>
    <t xml:space="preserve">     157</t>
  </si>
  <si>
    <t xml:space="preserve">     158</t>
  </si>
  <si>
    <t>werkdag</t>
  </si>
  <si>
    <t>NAAM</t>
  </si>
  <si>
    <t>ADRES</t>
  </si>
  <si>
    <t>PLAATS</t>
  </si>
  <si>
    <t>BASIS UUR- TARIEF</t>
  </si>
  <si>
    <t>UREN/ UITVOERING</t>
  </si>
  <si>
    <t>UREN HOOG-FREQUENT/ UITVOERING</t>
  </si>
  <si>
    <t>PRIJS/ UITVOERING</t>
  </si>
  <si>
    <t>UREN HOOG-FREQUENT/ JAAR</t>
  </si>
  <si>
    <t>PRIJS/ JAAR (EURO)</t>
  </si>
  <si>
    <t>PRIJS/ MAAND (EURO)</t>
  </si>
  <si>
    <t>Tongerlo, Norbertus Gertrudis Mavo</t>
  </si>
  <si>
    <t>Vincentiusstraat 51</t>
  </si>
  <si>
    <t>ROOSENDAAL</t>
  </si>
  <si>
    <t>Tongerlo, Norbertus Gertrudis Lyceum</t>
  </si>
  <si>
    <t>Bovendonk 115</t>
  </si>
  <si>
    <t>Tongerlo, Da Vinci College</t>
  </si>
  <si>
    <t>Bovendonk 1</t>
  </si>
  <si>
    <t>Totaal regulier werk incl. suppleties (excl. BTW)</t>
  </si>
  <si>
    <t>Totaal regulier werk incl. suppleties (incl. BTW)</t>
  </si>
  <si>
    <t>CODE</t>
  </si>
  <si>
    <t>FREQ (dagen)</t>
  </si>
  <si>
    <t>FUNCTIENAAM</t>
  </si>
  <si>
    <t>UURTARIEF (euro)</t>
  </si>
  <si>
    <t>PERC. VAN UREN/JAAR REGULIER WERK</t>
  </si>
  <si>
    <t>VASTE UREN/KEER (decimaal)</t>
  </si>
  <si>
    <t>UREN/ KEER</t>
  </si>
  <si>
    <t>PRIJS/ JAAR (euro)</t>
  </si>
  <si>
    <t>PRIJS/ MAAND (euro)</t>
  </si>
  <si>
    <t>&lt;invullen functie afh. van uren uitvoering per jaar&gt;</t>
  </si>
  <si>
    <t>&lt;invullen functie met vaste uren per dag&gt;</t>
  </si>
  <si>
    <t>Totaal 156 - Tongerlo, Norbertus Gertrudis Mavo, Vincentiusstraat 51, ROOSENDAAL</t>
  </si>
  <si>
    <t>Totaal 157 - Tongerlo, Norbertus Gertrudis Lyceum, Bovendonk 115, ROOSENDAAL</t>
  </si>
  <si>
    <t>Totaal 158 - Tongerlo, Da Vinci College, Bovendonk 1, ROOSENDAAL</t>
  </si>
  <si>
    <t>Totaal niet-meewerkende objectleiding</t>
  </si>
  <si>
    <t>Totaal niet-meewerkende objectleiding (incl. BTW)</t>
  </si>
  <si>
    <t>Object</t>
  </si>
  <si>
    <t>Kostenplaats</t>
  </si>
  <si>
    <t>Naam</t>
  </si>
  <si>
    <t>Adres</t>
  </si>
  <si>
    <t>Plaats</t>
  </si>
  <si>
    <t>Oppervlakte in onderhoud</t>
  </si>
  <si>
    <t>Uren hoog-frequent/ jaar</t>
  </si>
  <si>
    <t xml:space="preserve">Uren/ jaar werkdag             </t>
  </si>
  <si>
    <t xml:space="preserve">Gemiddelde productienorm werkdag             </t>
  </si>
  <si>
    <t>Prijs uitvoerend/ jaar</t>
  </si>
  <si>
    <t>Uren leiding/ jaar</t>
  </si>
  <si>
    <t>Prijs leiding/ jaar</t>
  </si>
  <si>
    <t>Prijs met leiding/ jaar</t>
  </si>
  <si>
    <t>Prijs/ maand excl.BTW</t>
  </si>
  <si>
    <t>Prijs/ maand incl.BTW</t>
  </si>
  <si>
    <t>Prijs per m² per jaar</t>
  </si>
  <si>
    <t>TOTAAL</t>
  </si>
  <si>
    <t>BEURT</t>
  </si>
  <si>
    <t>STAFFEL</t>
  </si>
  <si>
    <t>PRIJS/ EENHEID (EURO)</t>
  </si>
  <si>
    <t>2000A</t>
  </si>
  <si>
    <t>Systeemkast/monitor reinigen</t>
  </si>
  <si>
    <t>prijs per stuk</t>
  </si>
  <si>
    <t>&lt; 25 stuks</t>
  </si>
  <si>
    <t>2000B</t>
  </si>
  <si>
    <t>25 tot 100 stuks</t>
  </si>
  <si>
    <t>2000C</t>
  </si>
  <si>
    <t>100 tot 500 stuks</t>
  </si>
  <si>
    <t>2000D</t>
  </si>
  <si>
    <t>&gt;= 500 stuks</t>
  </si>
  <si>
    <t>2010A</t>
  </si>
  <si>
    <t>Printer uitwendig reinigen</t>
  </si>
  <si>
    <t>2010B</t>
  </si>
  <si>
    <t>2010C</t>
  </si>
  <si>
    <t>2010D</t>
  </si>
  <si>
    <t>2020A</t>
  </si>
  <si>
    <t>Fax uitwendig reinigen</t>
  </si>
  <si>
    <t>2020B</t>
  </si>
  <si>
    <t>2020C</t>
  </si>
  <si>
    <t>2020D</t>
  </si>
  <si>
    <t>2030A</t>
  </si>
  <si>
    <t>Toetsenbord reinigen</t>
  </si>
  <si>
    <t>2030B</t>
  </si>
  <si>
    <t>2030C</t>
  </si>
  <si>
    <t>2030D</t>
  </si>
  <si>
    <t>3000A</t>
  </si>
  <si>
    <t>Lamellen (horizontaal) reinigen (alumin)</t>
  </si>
  <si>
    <t>prijs per m²</t>
  </si>
  <si>
    <t>&lt; 5 m²</t>
  </si>
  <si>
    <t>3000B</t>
  </si>
  <si>
    <t>5 &lt; 25 m²</t>
  </si>
  <si>
    <t>3000C</t>
  </si>
  <si>
    <t>25 &lt; 100 m²</t>
  </si>
  <si>
    <t>3000D</t>
  </si>
  <si>
    <t>&gt;=100 m²</t>
  </si>
  <si>
    <t>3010A</t>
  </si>
  <si>
    <t>Lamellen (verticaal) reinigen (alumin)</t>
  </si>
  <si>
    <t>3010B</t>
  </si>
  <si>
    <t>3010C</t>
  </si>
  <si>
    <t>3010D</t>
  </si>
  <si>
    <t>3020A</t>
  </si>
  <si>
    <t>Gordijnen reinigen</t>
  </si>
  <si>
    <t>3020B</t>
  </si>
  <si>
    <t>3020C</t>
  </si>
  <si>
    <t>3020D</t>
  </si>
  <si>
    <t>3030</t>
  </si>
  <si>
    <t>Graffiti verwijderen</t>
  </si>
  <si>
    <t>3040</t>
  </si>
  <si>
    <t>Graffiti verwijderen spec.</t>
  </si>
  <si>
    <t>prijs per uur</t>
  </si>
  <si>
    <t>4000A</t>
  </si>
  <si>
    <t>Vloer schrobben/waterzuigen</t>
  </si>
  <si>
    <t>&lt; 500 m²</t>
  </si>
  <si>
    <t>4000B</t>
  </si>
  <si>
    <t>500 &lt; 1000 m²</t>
  </si>
  <si>
    <t>4000C</t>
  </si>
  <si>
    <t>1000 &lt; 2000 m²</t>
  </si>
  <si>
    <t>4000D</t>
  </si>
  <si>
    <t>&gt;= 2000 m²</t>
  </si>
  <si>
    <t>4010A</t>
  </si>
  <si>
    <t>Sure step vloeren opwrijven</t>
  </si>
  <si>
    <t>4010B</t>
  </si>
  <si>
    <t>4010C</t>
  </si>
  <si>
    <t>4010D</t>
  </si>
  <si>
    <t>4020A</t>
  </si>
  <si>
    <t>Linoleum sprayen /opwrijven</t>
  </si>
  <si>
    <t>4020B</t>
  </si>
  <si>
    <t>4020C</t>
  </si>
  <si>
    <t>4020D</t>
  </si>
  <si>
    <t>4030A</t>
  </si>
  <si>
    <t>Linoleum vloeren strippen/conserveren</t>
  </si>
  <si>
    <t>4030B</t>
  </si>
  <si>
    <t>4030C</t>
  </si>
  <si>
    <t>4030D</t>
  </si>
  <si>
    <t>4040A</t>
  </si>
  <si>
    <t>Tapijt reinigen droge methode (Host)</t>
  </si>
  <si>
    <t>4040B</t>
  </si>
  <si>
    <t>4040C</t>
  </si>
  <si>
    <t>4040D</t>
  </si>
  <si>
    <t>4050A</t>
  </si>
  <si>
    <t>Tapijt reinigen op koolzuur basis</t>
  </si>
  <si>
    <t>4050B</t>
  </si>
  <si>
    <t>4050C</t>
  </si>
  <si>
    <t>4050D</t>
  </si>
  <si>
    <t>4060A</t>
  </si>
  <si>
    <t>Tapijt reinigen sproei/extractie methode</t>
  </si>
  <si>
    <t>4060B</t>
  </si>
  <si>
    <t>4060C</t>
  </si>
  <si>
    <t>4060D</t>
  </si>
  <si>
    <t>4070A</t>
  </si>
  <si>
    <t>Tapijt borstelzuigen</t>
  </si>
  <si>
    <t>4070B</t>
  </si>
  <si>
    <t>4070C</t>
  </si>
  <si>
    <t>4070D</t>
  </si>
  <si>
    <t>4080A</t>
  </si>
  <si>
    <t>Sanitair vloer reinigen d.m.v. "stomen"</t>
  </si>
  <si>
    <t>4080B</t>
  </si>
  <si>
    <t>4080C</t>
  </si>
  <si>
    <t>4080D</t>
  </si>
  <si>
    <t>Totaal afroep incidenteel excl. BTW</t>
  </si>
  <si>
    <t>FREQ (DAGEN)</t>
  </si>
  <si>
    <t>HOEVEELHEID /KEER</t>
  </si>
  <si>
    <t>UURTARIEF (EURO)</t>
  </si>
  <si>
    <t>NORM</t>
  </si>
  <si>
    <t>PRIJS/ KEER</t>
  </si>
  <si>
    <t>9000</t>
  </si>
  <si>
    <t>Medewerker regiewerkzaamheden</t>
  </si>
  <si>
    <t>9050</t>
  </si>
  <si>
    <t>Medewerker regiewerkzaamheden weekend</t>
  </si>
  <si>
    <t>9100</t>
  </si>
  <si>
    <t>Medewerker specialistische werkzaamheden</t>
  </si>
  <si>
    <t>Totaal regiewerk excl. BTW</t>
  </si>
  <si>
    <t>Soort werk</t>
  </si>
  <si>
    <t>Uren per jaar uitvoering</t>
  </si>
  <si>
    <t>Uren hoogfrequent per jaar uitvoering</t>
  </si>
  <si>
    <t>Uren per jaar leiding</t>
  </si>
  <si>
    <t>Bedrag per jaar excl. BTW (euro)</t>
  </si>
  <si>
    <t>Bedrag per jaar incl. BTW (euro)</t>
  </si>
  <si>
    <t>Regulier werk</t>
  </si>
  <si>
    <t>Objectleiding</t>
  </si>
  <si>
    <t>Regie (geschat)</t>
  </si>
  <si>
    <t>Totaal generaal</t>
  </si>
  <si>
    <t>Percentage objectleiding</t>
  </si>
  <si>
    <t>VERGELIJKINGSPRIJS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</si>
</sst>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2]\ * #,##0.00_-;_-[$€-2]\ * #,##0.00\-;_-[$€-2]\ * &quot;-&quot;??_-;_-@_-"/>
    <numFmt numFmtId="165" formatCode="#,##0.0000"/>
  </numFmts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49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9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13" xfId="0" applyFill="1" applyBorder="1"/>
    <xf numFmtId="0" fontId="0" fillId="3" borderId="8" xfId="0" applyFill="1" applyBorder="1"/>
    <xf numFmtId="49" fontId="0" fillId="2" borderId="14" xfId="0" applyNumberFormat="1" applyFill="1" applyBorder="1"/>
    <xf numFmtId="1" fontId="0" fillId="2" borderId="14" xfId="0" applyNumberFormat="1" applyFill="1" applyBorder="1"/>
    <xf numFmtId="4" fontId="0" fillId="0" borderId="14" xfId="0" applyNumberFormat="1" applyBorder="1" applyProtection="1">
      <protection locked="0"/>
    </xf>
    <xf numFmtId="10" fontId="0" fillId="0" borderId="14" xfId="0" applyNumberFormat="1" applyBorder="1" applyProtection="1">
      <protection locked="0"/>
    </xf>
    <xf numFmtId="164" fontId="0" fillId="0" borderId="14" xfId="0" applyNumberFormat="1" applyBorder="1" applyProtection="1">
      <protection locked="0"/>
    </xf>
    <xf numFmtId="49" fontId="0" fillId="2" borderId="15" xfId="0" applyNumberFormat="1" applyFill="1" applyBorder="1"/>
    <xf numFmtId="1" fontId="0" fillId="2" borderId="15" xfId="0" applyNumberFormat="1" applyFill="1" applyBorder="1"/>
    <xf numFmtId="4" fontId="0" fillId="0" borderId="15" xfId="0" applyNumberFormat="1" applyBorder="1" applyProtection="1">
      <protection locked="0"/>
    </xf>
    <xf numFmtId="10" fontId="0" fillId="0" borderId="15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49" fontId="0" fillId="2" borderId="16" xfId="0" applyNumberFormat="1" applyFill="1" applyBorder="1"/>
    <xf numFmtId="1" fontId="0" fillId="2" borderId="16" xfId="0" applyNumberFormat="1" applyFill="1" applyBorder="1"/>
    <xf numFmtId="4" fontId="0" fillId="0" borderId="16" xfId="0" applyNumberFormat="1" applyBorder="1" applyProtection="1">
      <protection locked="0"/>
    </xf>
    <xf numFmtId="10" fontId="0" fillId="0" borderId="16" xfId="0" applyNumberFormat="1" applyBorder="1" applyProtection="1">
      <protection locked="0"/>
    </xf>
    <xf numFmtId="164" fontId="0" fillId="0" borderId="16" xfId="0" applyNumberFormat="1" applyBorder="1" applyProtection="1">
      <protection locked="0"/>
    </xf>
    <xf numFmtId="4" fontId="0" fillId="2" borderId="14" xfId="0" applyNumberFormat="1" applyFill="1" applyBorder="1"/>
    <xf numFmtId="165" fontId="0" fillId="2" borderId="14" xfId="0" applyNumberFormat="1" applyFill="1" applyBorder="1"/>
    <xf numFmtId="10" fontId="0" fillId="2" borderId="14" xfId="0" applyNumberFormat="1" applyFill="1" applyBorder="1"/>
    <xf numFmtId="164" fontId="0" fillId="2" borderId="14" xfId="0" applyNumberFormat="1" applyFill="1" applyBorder="1"/>
    <xf numFmtId="4" fontId="0" fillId="2" borderId="15" xfId="0" applyNumberFormat="1" applyFill="1" applyBorder="1"/>
    <xf numFmtId="165" fontId="0" fillId="2" borderId="15" xfId="0" applyNumberFormat="1" applyFill="1" applyBorder="1"/>
    <xf numFmtId="10" fontId="0" fillId="2" borderId="15" xfId="0" applyNumberFormat="1" applyFill="1" applyBorder="1"/>
    <xf numFmtId="164" fontId="0" fillId="2" borderId="15" xfId="0" applyNumberFormat="1" applyFill="1" applyBorder="1"/>
    <xf numFmtId="4" fontId="0" fillId="2" borderId="16" xfId="0" applyNumberFormat="1" applyFill="1" applyBorder="1"/>
    <xf numFmtId="165" fontId="0" fillId="2" borderId="16" xfId="0" applyNumberFormat="1" applyFill="1" applyBorder="1"/>
    <xf numFmtId="10" fontId="0" fillId="2" borderId="16" xfId="0" applyNumberFormat="1" applyFill="1" applyBorder="1"/>
    <xf numFmtId="164" fontId="0" fillId="2" borderId="16" xfId="0" applyNumberFormat="1" applyFill="1" applyBorder="1"/>
    <xf numFmtId="0" fontId="0" fillId="3" borderId="18" xfId="0" applyFill="1" applyBorder="1"/>
    <xf numFmtId="49" fontId="0" fillId="3" borderId="10" xfId="0" applyNumberFormat="1" applyFill="1" applyBorder="1"/>
    <xf numFmtId="0" fontId="0" fillId="3" borderId="11" xfId="0" applyFill="1" applyBorder="1"/>
    <xf numFmtId="4" fontId="0" fillId="3" borderId="6" xfId="0" applyNumberFormat="1" applyFill="1" applyBorder="1"/>
    <xf numFmtId="164" fontId="0" fillId="3" borderId="6" xfId="0" applyNumberFormat="1" applyFill="1" applyBorder="1"/>
    <xf numFmtId="164" fontId="0" fillId="3" borderId="17" xfId="0" applyNumberFormat="1" applyFill="1" applyBorder="1"/>
    <xf numFmtId="0" fontId="0" fillId="3" borderId="10" xfId="0" applyFill="1" applyBorder="1"/>
    <xf numFmtId="0" fontId="0" fillId="3" borderId="19" xfId="0" applyFill="1" applyBorder="1"/>
    <xf numFmtId="49" fontId="0" fillId="3" borderId="20" xfId="0" applyNumberFormat="1" applyFill="1" applyBorder="1" applyAlignment="1">
      <alignment wrapText="1"/>
    </xf>
    <xf numFmtId="49" fontId="0" fillId="3" borderId="17" xfId="0" applyNumberFormat="1" applyFill="1" applyBorder="1" applyAlignment="1">
      <alignment wrapText="1"/>
    </xf>
    <xf numFmtId="0" fontId="0" fillId="3" borderId="21" xfId="0" applyFill="1" applyBorder="1"/>
    <xf numFmtId="49" fontId="0" fillId="2" borderId="23" xfId="0" applyNumberFormat="1" applyFill="1" applyBorder="1"/>
    <xf numFmtId="49" fontId="0" fillId="2" borderId="24" xfId="0" applyNumberFormat="1" applyFill="1" applyBorder="1"/>
    <xf numFmtId="49" fontId="0" fillId="2" borderId="24" xfId="0" applyNumberFormat="1" applyFill="1" applyBorder="1" applyAlignment="1">
      <alignment wrapText="1"/>
    </xf>
    <xf numFmtId="4" fontId="0" fillId="2" borderId="24" xfId="0" applyNumberFormat="1" applyFill="1" applyBorder="1"/>
    <xf numFmtId="165" fontId="0" fillId="2" borderId="24" xfId="0" applyNumberFormat="1" applyFill="1" applyBorder="1"/>
    <xf numFmtId="10" fontId="0" fillId="2" borderId="24" xfId="0" applyNumberFormat="1" applyFill="1" applyBorder="1"/>
    <xf numFmtId="164" fontId="0" fillId="2" borderId="24" xfId="0" applyNumberFormat="1" applyFill="1" applyBorder="1"/>
    <xf numFmtId="164" fontId="0" fillId="2" borderId="25" xfId="0" applyNumberFormat="1" applyFill="1" applyBorder="1"/>
    <xf numFmtId="49" fontId="0" fillId="2" borderId="26" xfId="0" applyNumberFormat="1" applyFill="1" applyBorder="1"/>
    <xf numFmtId="49" fontId="0" fillId="2" borderId="27" xfId="0" applyNumberFormat="1" applyFill="1" applyBorder="1"/>
    <xf numFmtId="49" fontId="0" fillId="2" borderId="27" xfId="0" applyNumberFormat="1" applyFill="1" applyBorder="1" applyAlignment="1">
      <alignment wrapText="1"/>
    </xf>
    <xf numFmtId="4" fontId="0" fillId="2" borderId="27" xfId="0" applyNumberFormat="1" applyFill="1" applyBorder="1"/>
    <xf numFmtId="165" fontId="0" fillId="2" borderId="27" xfId="0" applyNumberFormat="1" applyFill="1" applyBorder="1"/>
    <xf numFmtId="10" fontId="0" fillId="2" borderId="27" xfId="0" applyNumberFormat="1" applyFill="1" applyBorder="1"/>
    <xf numFmtId="164" fontId="0" fillId="2" borderId="27" xfId="0" applyNumberFormat="1" applyFill="1" applyBorder="1"/>
    <xf numFmtId="164" fontId="0" fillId="2" borderId="28" xfId="0" applyNumberFormat="1" applyFill="1" applyBorder="1"/>
    <xf numFmtId="49" fontId="0" fillId="2" borderId="29" xfId="0" applyNumberFormat="1" applyFill="1" applyBorder="1"/>
    <xf numFmtId="49" fontId="0" fillId="2" borderId="30" xfId="0" applyNumberFormat="1" applyFill="1" applyBorder="1"/>
    <xf numFmtId="49" fontId="0" fillId="2" borderId="30" xfId="0" applyNumberFormat="1" applyFill="1" applyBorder="1" applyAlignment="1">
      <alignment wrapText="1"/>
    </xf>
    <xf numFmtId="4" fontId="0" fillId="2" borderId="30" xfId="0" applyNumberFormat="1" applyFill="1" applyBorder="1"/>
    <xf numFmtId="165" fontId="0" fillId="2" borderId="30" xfId="0" applyNumberFormat="1" applyFill="1" applyBorder="1"/>
    <xf numFmtId="10" fontId="0" fillId="2" borderId="30" xfId="0" applyNumberFormat="1" applyFill="1" applyBorder="1"/>
    <xf numFmtId="164" fontId="0" fillId="2" borderId="30" xfId="0" applyNumberFormat="1" applyFill="1" applyBorder="1"/>
    <xf numFmtId="164" fontId="0" fillId="2" borderId="31" xfId="0" applyNumberFormat="1" applyFill="1" applyBorder="1"/>
    <xf numFmtId="49" fontId="0" fillId="3" borderId="32" xfId="0" applyNumberFormat="1" applyFill="1" applyBorder="1"/>
    <xf numFmtId="49" fontId="0" fillId="3" borderId="3" xfId="0" applyNumberFormat="1" applyFill="1" applyBorder="1"/>
    <xf numFmtId="0" fontId="0" fillId="3" borderId="22" xfId="0" applyFill="1" applyBorder="1"/>
    <xf numFmtId="49" fontId="0" fillId="3" borderId="22" xfId="0" applyNumberFormat="1" applyFill="1" applyBorder="1"/>
    <xf numFmtId="0" fontId="0" fillId="3" borderId="6" xfId="0" applyFill="1" applyBorder="1"/>
    <xf numFmtId="49" fontId="0" fillId="4" borderId="14" xfId="0" applyNumberFormat="1" applyFill="1" applyBorder="1" applyProtection="1">
      <protection locked="0"/>
    </xf>
    <xf numFmtId="164" fontId="0" fillId="4" borderId="14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49" fontId="0" fillId="4" borderId="16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0" borderId="4" xfId="0" applyBorder="1"/>
    <xf numFmtId="0" fontId="0" fillId="0" borderId="9" xfId="0" applyBorder="1"/>
    <xf numFmtId="0" fontId="0" fillId="0" borderId="5" xfId="0" applyBorder="1"/>
    <xf numFmtId="0" fontId="0" fillId="3" borderId="7" xfId="0" applyFill="1" applyBorder="1" applyAlignment="1"/>
    <xf numFmtId="1" fontId="0" fillId="0" borderId="14" xfId="0" applyNumberFormat="1" applyBorder="1"/>
    <xf numFmtId="49" fontId="0" fillId="0" borderId="14" xfId="0" applyNumberFormat="1" applyBorder="1"/>
    <xf numFmtId="4" fontId="0" fillId="3" borderId="14" xfId="0" applyNumberFormat="1" applyFill="1" applyBorder="1"/>
    <xf numFmtId="1" fontId="0" fillId="0" borderId="15" xfId="0" applyNumberFormat="1" applyBorder="1"/>
    <xf numFmtId="49" fontId="0" fillId="0" borderId="15" xfId="0" applyNumberFormat="1" applyBorder="1"/>
    <xf numFmtId="4" fontId="0" fillId="3" borderId="15" xfId="0" applyNumberFormat="1" applyFill="1" applyBorder="1"/>
    <xf numFmtId="10" fontId="0" fillId="3" borderId="15" xfId="0" applyNumberFormat="1" applyFill="1" applyBorder="1"/>
    <xf numFmtId="1" fontId="0" fillId="0" borderId="16" xfId="0" applyNumberFormat="1" applyBorder="1"/>
    <xf numFmtId="49" fontId="0" fillId="0" borderId="16" xfId="0" applyNumberFormat="1" applyBorder="1"/>
    <xf numFmtId="10" fontId="0" fillId="3" borderId="16" xfId="0" applyNumberFormat="1" applyFill="1" applyBorder="1"/>
    <xf numFmtId="49" fontId="0" fillId="3" borderId="10" xfId="0" applyNumberFormat="1" applyFill="1" applyBorder="1" applyAlignment="1"/>
    <xf numFmtId="49" fontId="0" fillId="3" borderId="14" xfId="0" applyNumberFormat="1" applyFill="1" applyBorder="1" applyAlignment="1">
      <alignment wrapText="1"/>
    </xf>
    <xf numFmtId="49" fontId="0" fillId="3" borderId="15" xfId="0" applyNumberFormat="1" applyFill="1" applyBorder="1" applyAlignment="1">
      <alignment wrapText="1"/>
    </xf>
    <xf numFmtId="49" fontId="0" fillId="3" borderId="16" xfId="0" applyNumberFormat="1" applyFill="1" applyBorder="1" applyAlignment="1">
      <alignment wrapText="1"/>
    </xf>
    <xf numFmtId="0" fontId="0" fillId="3" borderId="12" xfId="0" applyFill="1" applyBorder="1"/>
    <xf numFmtId="49" fontId="0" fillId="3" borderId="14" xfId="0" applyNumberFormat="1" applyFill="1" applyBorder="1"/>
    <xf numFmtId="49" fontId="0" fillId="3" borderId="15" xfId="0" applyNumberFormat="1" applyFill="1" applyBorder="1"/>
    <xf numFmtId="0" fontId="0" fillId="3" borderId="15" xfId="0" applyFill="1" applyBorder="1"/>
    <xf numFmtId="4" fontId="0" fillId="4" borderId="14" xfId="0" applyNumberFormat="1" applyFill="1" applyBorder="1" applyProtection="1">
      <protection locked="0"/>
    </xf>
    <xf numFmtId="4" fontId="0" fillId="3" borderId="14" xfId="0" applyNumberFormat="1" applyFill="1" applyBorder="1" applyProtection="1">
      <protection locked="0"/>
    </xf>
    <xf numFmtId="4" fontId="0" fillId="4" borderId="15" xfId="0" applyNumberFormat="1" applyFill="1" applyBorder="1" applyProtection="1">
      <protection locked="0"/>
    </xf>
    <xf numFmtId="4" fontId="0" fillId="3" borderId="15" xfId="0" applyNumberFormat="1" applyFill="1" applyBorder="1" applyProtection="1">
      <protection locked="0"/>
    </xf>
    <xf numFmtId="4" fontId="0" fillId="4" borderId="16" xfId="0" applyNumberFormat="1" applyFill="1" applyBorder="1" applyProtection="1">
      <protection locked="0"/>
    </xf>
    <xf numFmtId="4" fontId="0" fillId="3" borderId="16" xfId="0" applyNumberFormat="1" applyFill="1" applyBorder="1" applyProtection="1">
      <protection locked="0"/>
    </xf>
    <xf numFmtId="164" fontId="0" fillId="3" borderId="12" xfId="0" applyNumberFormat="1" applyFill="1" applyBorder="1"/>
    <xf numFmtId="4" fontId="0" fillId="3" borderId="16" xfId="0" applyNumberFormat="1" applyFill="1" applyBorder="1"/>
    <xf numFmtId="10" fontId="0" fillId="3" borderId="6" xfId="0" applyNumberFormat="1" applyFill="1" applyBorder="1"/>
    <xf numFmtId="49" fontId="1" fillId="3" borderId="6" xfId="0" applyNumberFormat="1" applyFont="1" applyFill="1" applyBorder="1"/>
    <xf numFmtId="164" fontId="1" fillId="2" borderId="6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8E71-5F81-493A-B79E-6A9A87CAC91D}">
  <dimension ref="A1:H27"/>
  <sheetViews>
    <sheetView tabSelected="1" workbookViewId="0"/>
  </sheetViews>
  <sheetFormatPr defaultRowHeight="14.4" x14ac:dyDescent="0.3"/>
  <sheetData>
    <row r="1" spans="1:8" x14ac:dyDescent="0.3">
      <c r="A1" s="1" t="s">
        <v>0</v>
      </c>
    </row>
    <row r="3" spans="1:8" x14ac:dyDescent="0.3">
      <c r="A3" t="s">
        <v>1</v>
      </c>
    </row>
    <row r="5" spans="1:8" x14ac:dyDescent="0.3">
      <c r="A5" t="s">
        <v>2</v>
      </c>
      <c r="B5" t="s">
        <v>3</v>
      </c>
    </row>
    <row r="7" spans="1:8" x14ac:dyDescent="0.3">
      <c r="A7" s="4" t="s">
        <v>4</v>
      </c>
      <c r="B7" s="5"/>
      <c r="D7" s="4" t="s">
        <v>24</v>
      </c>
      <c r="E7" s="5"/>
      <c r="G7" s="4" t="s">
        <v>25</v>
      </c>
      <c r="H7" s="5"/>
    </row>
    <row r="8" spans="1:8" x14ac:dyDescent="0.3">
      <c r="A8" s="2"/>
      <c r="B8" s="3"/>
      <c r="D8" s="2"/>
      <c r="E8" s="3"/>
      <c r="G8" s="2"/>
      <c r="H8" s="3"/>
    </row>
    <row r="9" spans="1:8" x14ac:dyDescent="0.3">
      <c r="A9" s="2" t="s">
        <v>5</v>
      </c>
      <c r="B9" s="3">
        <v>255</v>
      </c>
      <c r="D9" s="2" t="s">
        <v>5</v>
      </c>
      <c r="E9" s="3">
        <v>8</v>
      </c>
      <c r="G9" s="2" t="s">
        <v>5</v>
      </c>
      <c r="H9" s="3">
        <v>102</v>
      </c>
    </row>
    <row r="10" spans="1:8" x14ac:dyDescent="0.3">
      <c r="A10" s="2" t="s">
        <v>6</v>
      </c>
      <c r="B10" s="3">
        <v>5</v>
      </c>
      <c r="D10" s="2" t="s">
        <v>6</v>
      </c>
      <c r="E10" s="3">
        <v>1</v>
      </c>
      <c r="G10" s="2" t="s">
        <v>6</v>
      </c>
      <c r="H10" s="3">
        <v>2</v>
      </c>
    </row>
    <row r="11" spans="1:8" x14ac:dyDescent="0.3">
      <c r="A11" s="2"/>
      <c r="B11" s="3"/>
      <c r="D11" s="2"/>
      <c r="E11" s="3"/>
      <c r="G11" s="2"/>
      <c r="H11" s="3"/>
    </row>
    <row r="12" spans="1:8" x14ac:dyDescent="0.3">
      <c r="A12" s="2" t="s">
        <v>7</v>
      </c>
      <c r="B12" s="3" t="s">
        <v>8</v>
      </c>
      <c r="D12" s="2" t="s">
        <v>7</v>
      </c>
      <c r="E12" s="3" t="s">
        <v>8</v>
      </c>
      <c r="G12" s="2" t="s">
        <v>7</v>
      </c>
      <c r="H12" s="3" t="s">
        <v>8</v>
      </c>
    </row>
    <row r="13" spans="1:8" x14ac:dyDescent="0.3">
      <c r="A13" s="2" t="s">
        <v>9</v>
      </c>
      <c r="B13" s="3">
        <f t="shared" ref="B13:B27" si="0">IF(A13="2½W",2.5/dagenperweek1,IF(RIGHT(A13,1)="W",VALUE(LEFT(A13,LEN(A13)-1))/dagenperweek1,IF(RIGHT(A13,1)="J",VALUE(LEFT(A13,LEN(A13)-1))/dagenperjaar1,"handmatig!")))</f>
        <v>1</v>
      </c>
      <c r="D13" s="2" t="s">
        <v>9</v>
      </c>
      <c r="E13" s="3">
        <f t="shared" ref="E13:E24" si="1">IF(D13="2½W",2.5/dagenperweek2,IF(RIGHT(D13,1)="W",VALUE(LEFT(D13,LEN(D13)-1))/dagenperweek2,IF(RIGHT(D13,1)="J",VALUE(LEFT(D13,LEN(D13)-1))/dagenperjaar2,"handmatig!")))</f>
        <v>5</v>
      </c>
      <c r="G13" s="2" t="s">
        <v>14</v>
      </c>
      <c r="H13" s="3">
        <f>IF(G13="2½W",2.5/dagenperweek3,IF(RIGHT(G13,1)="W",VALUE(LEFT(G13,LEN(G13)-1))/dagenperweek3,IF(RIGHT(G13,1)="J",VALUE(LEFT(G13,LEN(G13)-1))/dagenperjaar3,"handmatig!")))</f>
        <v>1</v>
      </c>
    </row>
    <row r="14" spans="1:8" x14ac:dyDescent="0.3">
      <c r="A14" s="2" t="s">
        <v>10</v>
      </c>
      <c r="B14" s="3">
        <f t="shared" si="0"/>
        <v>0.82352941176470584</v>
      </c>
      <c r="D14" s="2" t="s">
        <v>11</v>
      </c>
      <c r="E14" s="3">
        <f t="shared" si="1"/>
        <v>4</v>
      </c>
      <c r="G14" s="2" t="s">
        <v>15</v>
      </c>
      <c r="H14" s="3">
        <f>IF(G14="2½W",2.5/dagenperweek3,IF(RIGHT(G14,1)="W",VALUE(LEFT(G14,LEN(G14)-1))/dagenperweek3,IF(RIGHT(G14,1)="J",VALUE(LEFT(G14,LEN(G14)-1))/dagenperjaar3,"handmatig!")))</f>
        <v>0.5</v>
      </c>
    </row>
    <row r="15" spans="1:8" x14ac:dyDescent="0.3">
      <c r="A15" s="2" t="s">
        <v>11</v>
      </c>
      <c r="B15" s="3">
        <f t="shared" si="0"/>
        <v>0.8</v>
      </c>
      <c r="D15" s="2" t="s">
        <v>12</v>
      </c>
      <c r="E15" s="3">
        <f t="shared" si="1"/>
        <v>3</v>
      </c>
      <c r="G15" s="6" t="s">
        <v>23</v>
      </c>
      <c r="H15" s="7">
        <f>IF(G15="2½W",2.5/dagenperweek3,IF(RIGHT(G15,1)="W",VALUE(LEFT(G15,LEN(G15)-1))/dagenperweek3,IF(RIGHT(G15,1)="J",VALUE(LEFT(G15,LEN(G15)-1))/dagenperjaar3,"handmatig!")))</f>
        <v>9.8039215686274508E-3</v>
      </c>
    </row>
    <row r="16" spans="1:8" x14ac:dyDescent="0.3">
      <c r="A16" s="2" t="s">
        <v>12</v>
      </c>
      <c r="B16" s="3">
        <f t="shared" si="0"/>
        <v>0.6</v>
      </c>
      <c r="D16" s="2" t="s">
        <v>14</v>
      </c>
      <c r="E16" s="3">
        <f t="shared" si="1"/>
        <v>2</v>
      </c>
    </row>
    <row r="17" spans="1:5" x14ac:dyDescent="0.3">
      <c r="A17" s="2" t="s">
        <v>13</v>
      </c>
      <c r="B17" s="3">
        <f t="shared" si="0"/>
        <v>0.41176470588235292</v>
      </c>
      <c r="D17" s="2" t="s">
        <v>15</v>
      </c>
      <c r="E17" s="3">
        <f t="shared" si="1"/>
        <v>1</v>
      </c>
    </row>
    <row r="18" spans="1:5" x14ac:dyDescent="0.3">
      <c r="A18" s="2" t="s">
        <v>14</v>
      </c>
      <c r="B18" s="3">
        <f t="shared" si="0"/>
        <v>0.4</v>
      </c>
      <c r="D18" s="2" t="s">
        <v>17</v>
      </c>
      <c r="E18" s="3">
        <f t="shared" si="1"/>
        <v>3.25</v>
      </c>
    </row>
    <row r="19" spans="1:5" x14ac:dyDescent="0.3">
      <c r="A19" s="2" t="s">
        <v>15</v>
      </c>
      <c r="B19" s="3">
        <f t="shared" si="0"/>
        <v>0.2</v>
      </c>
      <c r="D19" s="2" t="s">
        <v>18</v>
      </c>
      <c r="E19" s="3">
        <f t="shared" si="1"/>
        <v>1.5</v>
      </c>
    </row>
    <row r="20" spans="1:5" x14ac:dyDescent="0.3">
      <c r="A20" s="2" t="s">
        <v>16</v>
      </c>
      <c r="B20" s="3">
        <f t="shared" si="0"/>
        <v>0.16470588235294117</v>
      </c>
      <c r="D20" s="2" t="s">
        <v>19</v>
      </c>
      <c r="E20" s="3">
        <f t="shared" si="1"/>
        <v>0.75</v>
      </c>
    </row>
    <row r="21" spans="1:5" x14ac:dyDescent="0.3">
      <c r="A21" s="2" t="s">
        <v>17</v>
      </c>
      <c r="B21" s="3">
        <f t="shared" si="0"/>
        <v>0.10196078431372549</v>
      </c>
      <c r="D21" s="2" t="s">
        <v>20</v>
      </c>
      <c r="E21" s="3">
        <f t="shared" si="1"/>
        <v>0.5</v>
      </c>
    </row>
    <row r="22" spans="1:5" x14ac:dyDescent="0.3">
      <c r="A22" s="2" t="s">
        <v>18</v>
      </c>
      <c r="B22" s="3">
        <f t="shared" si="0"/>
        <v>4.7058823529411764E-2</v>
      </c>
      <c r="D22" s="2" t="s">
        <v>21</v>
      </c>
      <c r="E22" s="3">
        <f t="shared" si="1"/>
        <v>0.375</v>
      </c>
    </row>
    <row r="23" spans="1:5" x14ac:dyDescent="0.3">
      <c r="A23" s="2" t="s">
        <v>19</v>
      </c>
      <c r="B23" s="3">
        <f t="shared" si="0"/>
        <v>2.3529411764705882E-2</v>
      </c>
      <c r="D23" s="2" t="s">
        <v>22</v>
      </c>
      <c r="E23" s="3">
        <f t="shared" si="1"/>
        <v>0.25</v>
      </c>
    </row>
    <row r="24" spans="1:5" x14ac:dyDescent="0.3">
      <c r="A24" s="2" t="s">
        <v>20</v>
      </c>
      <c r="B24" s="3">
        <f t="shared" si="0"/>
        <v>1.5686274509803921E-2</v>
      </c>
      <c r="D24" s="6" t="s">
        <v>23</v>
      </c>
      <c r="E24" s="7">
        <f t="shared" si="1"/>
        <v>0.125</v>
      </c>
    </row>
    <row r="25" spans="1:5" x14ac:dyDescent="0.3">
      <c r="A25" s="2" t="s">
        <v>21</v>
      </c>
      <c r="B25" s="3">
        <f t="shared" si="0"/>
        <v>1.1764705882352941E-2</v>
      </c>
    </row>
    <row r="26" spans="1:5" x14ac:dyDescent="0.3">
      <c r="A26" s="2" t="s">
        <v>22</v>
      </c>
      <c r="B26" s="3">
        <f t="shared" si="0"/>
        <v>7.8431372549019607E-3</v>
      </c>
    </row>
    <row r="27" spans="1:5" x14ac:dyDescent="0.3">
      <c r="A27" s="6" t="s">
        <v>23</v>
      </c>
      <c r="B27" s="7">
        <f t="shared" si="0"/>
        <v>3.9215686274509803E-3</v>
      </c>
    </row>
  </sheetData>
  <pageMargins left="0.7" right="0.7" top="0.75" bottom="0.75" header="0.3" footer="0.3"/>
  <pageSetup paperSize="9" orientation="portrait" horizontalDpi="15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974E-23ED-4226-B0AF-47F931D7B11C}">
  <dimension ref="A1:L11"/>
  <sheetViews>
    <sheetView workbookViewId="0"/>
  </sheetViews>
  <sheetFormatPr defaultRowHeight="14.4" x14ac:dyDescent="0.3"/>
  <cols>
    <col min="1" max="1" width="7.77734375" customWidth="1"/>
    <col min="2" max="2" width="6.77734375" customWidth="1"/>
    <col min="3" max="3" width="7.77734375" customWidth="1"/>
    <col min="4" max="4" width="50.77734375" customWidth="1"/>
    <col min="5" max="6" width="14.77734375" customWidth="1"/>
    <col min="7" max="9" width="11.77734375" customWidth="1"/>
    <col min="10" max="10" width="12.77734375" customWidth="1"/>
    <col min="11" max="11" width="14.77734375" customWidth="1"/>
    <col min="12" max="12" width="13.77734375" customWidth="1"/>
  </cols>
  <sheetData>
    <row r="1" spans="1:12" x14ac:dyDescent="0.3">
      <c r="A1" s="1" t="str">
        <f>CONCATENATE("Bijlage G.8: ",tabeltype," regiewerk")</f>
        <v>Bijlage G.8: Invultabel regiewerk</v>
      </c>
    </row>
    <row r="3" spans="1:12" ht="43.2" x14ac:dyDescent="0.3">
      <c r="A3" s="8" t="s">
        <v>736</v>
      </c>
      <c r="B3" s="8" t="s">
        <v>7</v>
      </c>
      <c r="C3" s="8" t="s">
        <v>839</v>
      </c>
      <c r="D3" s="8" t="s">
        <v>29</v>
      </c>
      <c r="E3" s="8" t="s">
        <v>32</v>
      </c>
      <c r="F3" s="8" t="s">
        <v>840</v>
      </c>
      <c r="G3" s="8" t="s">
        <v>841</v>
      </c>
      <c r="H3" s="8" t="s">
        <v>842</v>
      </c>
      <c r="I3" s="8" t="s">
        <v>738</v>
      </c>
      <c r="J3" s="8" t="s">
        <v>843</v>
      </c>
      <c r="K3" s="8" t="s">
        <v>161</v>
      </c>
      <c r="L3" s="8" t="s">
        <v>693</v>
      </c>
    </row>
    <row r="4" spans="1:12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x14ac:dyDescent="0.3">
      <c r="A5" s="12" t="s">
        <v>34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12" x14ac:dyDescent="0.3">
      <c r="A6" s="15" t="s">
        <v>844</v>
      </c>
      <c r="B6" s="15" t="s">
        <v>23</v>
      </c>
      <c r="C6" s="16">
        <f>IF(ISBLANK(B6),0,IF(ISERROR(VALUE(B6)),VLOOKUP(B6,dagsoorttabel1,2,FALSE)*dagenperjaar1,VALUE(B6)))</f>
        <v>1</v>
      </c>
      <c r="D6" s="15" t="s">
        <v>845</v>
      </c>
      <c r="E6" s="15" t="s">
        <v>788</v>
      </c>
      <c r="F6" s="110">
        <v>25</v>
      </c>
      <c r="G6" s="19"/>
      <c r="H6" s="111"/>
      <c r="I6" s="19"/>
      <c r="J6" s="33">
        <f>IF(ISBLANK(F6),0,F6)*I6</f>
        <v>0</v>
      </c>
      <c r="K6" s="33">
        <f>C6*J6</f>
        <v>0</v>
      </c>
      <c r="L6" s="33">
        <f>K6/12</f>
        <v>0</v>
      </c>
    </row>
    <row r="7" spans="1:12" x14ac:dyDescent="0.3">
      <c r="A7" s="20" t="s">
        <v>846</v>
      </c>
      <c r="B7" s="20" t="s">
        <v>23</v>
      </c>
      <c r="C7" s="21">
        <f>IF(ISBLANK(B7),0,IF(ISERROR(VALUE(B7)),VLOOKUP(B7,dagsoorttabel1,2,FALSE)*dagenperjaar1,VALUE(B7)))</f>
        <v>1</v>
      </c>
      <c r="D7" s="20" t="s">
        <v>847</v>
      </c>
      <c r="E7" s="20" t="s">
        <v>788</v>
      </c>
      <c r="F7" s="112">
        <v>4</v>
      </c>
      <c r="G7" s="24"/>
      <c r="H7" s="113"/>
      <c r="I7" s="24"/>
      <c r="J7" s="37">
        <f>IF(ISBLANK(F7),0,F7)*I7</f>
        <v>0</v>
      </c>
      <c r="K7" s="37">
        <f>C7*J7</f>
        <v>0</v>
      </c>
      <c r="L7" s="37">
        <f>K7/12</f>
        <v>0</v>
      </c>
    </row>
    <row r="8" spans="1:12" x14ac:dyDescent="0.3">
      <c r="A8" s="25" t="s">
        <v>848</v>
      </c>
      <c r="B8" s="25" t="s">
        <v>23</v>
      </c>
      <c r="C8" s="26">
        <f>IF(ISBLANK(B8),0,IF(ISERROR(VALUE(B8)),VLOOKUP(B8,dagsoorttabel1,2,FALSE)*dagenperjaar1,VALUE(B8)))</f>
        <v>1</v>
      </c>
      <c r="D8" s="25" t="s">
        <v>849</v>
      </c>
      <c r="E8" s="25" t="s">
        <v>788</v>
      </c>
      <c r="F8" s="114">
        <v>7</v>
      </c>
      <c r="G8" s="29"/>
      <c r="H8" s="115"/>
      <c r="I8" s="29"/>
      <c r="J8" s="41">
        <f>IF(ISBLANK(F8),0,F8)*I8</f>
        <v>0</v>
      </c>
      <c r="K8" s="41">
        <f>C8*J8</f>
        <v>0</v>
      </c>
      <c r="L8" s="41">
        <f>K8/12</f>
        <v>0</v>
      </c>
    </row>
    <row r="9" spans="1:12" x14ac:dyDescent="0.3">
      <c r="A9" s="43" t="s">
        <v>219</v>
      </c>
      <c r="B9" s="44"/>
      <c r="C9" s="44"/>
      <c r="D9" s="44"/>
      <c r="E9" s="44"/>
      <c r="F9" s="44"/>
      <c r="G9" s="44"/>
      <c r="H9" s="44"/>
      <c r="I9" s="44"/>
      <c r="J9" s="44"/>
      <c r="K9" s="46">
        <f>SUM(K6:K8)</f>
        <v>0</v>
      </c>
      <c r="L9" s="116">
        <f>K9/12</f>
        <v>0</v>
      </c>
    </row>
    <row r="11" spans="1:12" x14ac:dyDescent="0.3">
      <c r="A11" s="43" t="s">
        <v>850</v>
      </c>
      <c r="B11" s="44"/>
      <c r="C11" s="44"/>
      <c r="D11" s="44"/>
      <c r="E11" s="44"/>
      <c r="F11" s="44"/>
      <c r="G11" s="44"/>
      <c r="H11" s="44"/>
      <c r="I11" s="44"/>
      <c r="J11" s="44"/>
      <c r="K11" s="46">
        <f>prijsjaarregie1</f>
        <v>0</v>
      </c>
      <c r="L11" s="116">
        <f>K11/12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                                   
CONCEPT PER 01-01-2022&amp;ROpmaakdatum: 07-12-2021
Intexso - De Start 5 - Leusden
+31 (33) 2778485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6B0C9-4033-49A4-85F8-E19465BF47FA}">
  <dimension ref="A1:F12"/>
  <sheetViews>
    <sheetView workbookViewId="0">
      <selection activeCell="F12" sqref="F12"/>
    </sheetView>
  </sheetViews>
  <sheetFormatPr defaultRowHeight="14.4" x14ac:dyDescent="0.3"/>
  <cols>
    <col min="1" max="1" width="30.77734375" customWidth="1"/>
    <col min="2" max="6" width="20.77734375" customWidth="1"/>
  </cols>
  <sheetData>
    <row r="1" spans="1:6" x14ac:dyDescent="0.3">
      <c r="A1" s="1" t="str">
        <f>CONCATENATE("Bijlage G.9: ",tabeltype," totaalblad schoonmaakwerk")</f>
        <v>Bijlage G.9: Invultabel totaalblad schoonmaakwerk</v>
      </c>
    </row>
    <row r="3" spans="1:6" ht="28.8" x14ac:dyDescent="0.3">
      <c r="A3" s="8" t="s">
        <v>851</v>
      </c>
      <c r="B3" s="8" t="s">
        <v>852</v>
      </c>
      <c r="C3" s="8" t="s">
        <v>853</v>
      </c>
      <c r="D3" s="8" t="s">
        <v>854</v>
      </c>
      <c r="E3" s="8" t="s">
        <v>855</v>
      </c>
      <c r="F3" s="8" t="s">
        <v>856</v>
      </c>
    </row>
    <row r="4" spans="1:6" x14ac:dyDescent="0.3">
      <c r="A4" s="103" t="s">
        <v>857</v>
      </c>
      <c r="B4" s="30">
        <f>urenjaartotaaloverzicht</f>
        <v>0</v>
      </c>
      <c r="C4" s="30">
        <f>urenjaartotaaloverzichthf</f>
        <v>0</v>
      </c>
      <c r="D4" s="94"/>
      <c r="E4" s="33">
        <f>prijsjaartotaaloverzicht</f>
        <v>0</v>
      </c>
      <c r="F4" s="33">
        <f>E4*1.21</f>
        <v>0</v>
      </c>
    </row>
    <row r="5" spans="1:6" x14ac:dyDescent="0.3">
      <c r="A5" s="104" t="s">
        <v>858</v>
      </c>
      <c r="B5" s="97"/>
      <c r="C5" s="97"/>
      <c r="D5" s="34">
        <f>urenjaarnietmeewerkend</f>
        <v>0</v>
      </c>
      <c r="E5" s="37">
        <f>prijsjaarnietmeewerkend</f>
        <v>0</v>
      </c>
      <c r="F5" s="37">
        <f>E5*1.21</f>
        <v>0</v>
      </c>
    </row>
    <row r="6" spans="1:6" x14ac:dyDescent="0.3">
      <c r="A6" s="105" t="s">
        <v>859</v>
      </c>
      <c r="B6" s="117"/>
      <c r="C6" s="117"/>
      <c r="D6" s="117"/>
      <c r="E6" s="41">
        <f>prijsjaarregie</f>
        <v>0</v>
      </c>
      <c r="F6" s="41">
        <f>E6*1.21</f>
        <v>0</v>
      </c>
    </row>
    <row r="8" spans="1:6" x14ac:dyDescent="0.3">
      <c r="A8" s="8" t="s">
        <v>860</v>
      </c>
      <c r="B8" s="45">
        <f>SUM(B4:B6)</f>
        <v>0</v>
      </c>
      <c r="C8" s="45">
        <f>SUM(C4:C6)</f>
        <v>0</v>
      </c>
      <c r="D8" s="45">
        <f>SUM(D4:D6)</f>
        <v>0</v>
      </c>
      <c r="E8" s="46">
        <f>SUM(E4:E6)</f>
        <v>0</v>
      </c>
      <c r="F8" s="46">
        <f>E8*1.21</f>
        <v>0</v>
      </c>
    </row>
    <row r="10" spans="1:6" x14ac:dyDescent="0.3">
      <c r="A10" s="8" t="s">
        <v>861</v>
      </c>
      <c r="B10" s="118">
        <f>IF(B8&gt;0,D8/B8,0)</f>
        <v>0</v>
      </c>
    </row>
    <row r="12" spans="1:6" x14ac:dyDescent="0.3">
      <c r="A12" s="119" t="s">
        <v>862</v>
      </c>
      <c r="B12" s="81"/>
      <c r="C12" s="81"/>
      <c r="D12" s="81"/>
      <c r="E12" s="81"/>
      <c r="F12" s="120">
        <f>SUM(vp_regulier,vp_leiding,vp_regie)</f>
        <v>0</v>
      </c>
    </row>
  </sheetData>
  <pageMargins left="0.7" right="0.7" top="0.75" bottom="0.75" header="0.3" footer="0.3"/>
  <pageSetup paperSize="9" scale="70" orientation="landscape" horizontalDpi="150" verticalDpi="0" r:id="rId1"/>
  <headerFooter>
    <oddFooter>&amp;LOns Middelbaar Onderwijs                                    
CONCEPT PER 01-01-2022&amp;ROpmaakdatum: 07-12-2021
Intexso - De Start 5 - Leusden
+31 (33) 2778485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F347B-824B-482A-9B25-A8699FD4FBC9}">
  <dimension ref="A1:H61"/>
  <sheetViews>
    <sheetView workbookViewId="0"/>
  </sheetViews>
  <sheetFormatPr defaultRowHeight="14.4" x14ac:dyDescent="0.3"/>
  <cols>
    <col min="1" max="1" width="7.77734375" customWidth="1"/>
    <col min="2" max="2" width="6.77734375" customWidth="1"/>
    <col min="3" max="3" width="4.77734375" customWidth="1"/>
    <col min="4" max="4" width="50.77734375" customWidth="1"/>
    <col min="5" max="6" width="11.77734375" customWidth="1"/>
    <col min="7" max="7" width="9.77734375" customWidth="1"/>
    <col min="8" max="8" width="11.77734375" customWidth="1"/>
  </cols>
  <sheetData>
    <row r="1" spans="1:8" x14ac:dyDescent="0.3">
      <c r="A1" s="1" t="str">
        <f>CONCATENATE("Bijlage G.1: ",tabeltype," categorienormen")</f>
        <v>Bijlage G.1: Invultabel categorienormen</v>
      </c>
    </row>
    <row r="3" spans="1:8" ht="43.2" x14ac:dyDescent="0.3">
      <c r="A3" s="8" t="s">
        <v>26</v>
      </c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32</v>
      </c>
      <c r="H3" s="8" t="s">
        <v>33</v>
      </c>
    </row>
    <row r="4" spans="1:8" x14ac:dyDescent="0.3">
      <c r="A4" s="9"/>
      <c r="B4" s="10"/>
      <c r="C4" s="10"/>
      <c r="D4" s="10"/>
      <c r="E4" s="10"/>
      <c r="F4" s="10"/>
      <c r="G4" s="10"/>
      <c r="H4" s="11"/>
    </row>
    <row r="5" spans="1:8" x14ac:dyDescent="0.3">
      <c r="A5" s="12" t="s">
        <v>34</v>
      </c>
      <c r="B5" s="13"/>
      <c r="C5" s="13"/>
      <c r="D5" s="13"/>
      <c r="E5" s="13"/>
      <c r="F5" s="13"/>
      <c r="G5" s="13"/>
      <c r="H5" s="14"/>
    </row>
    <row r="6" spans="1:8" x14ac:dyDescent="0.3">
      <c r="A6" s="15" t="s">
        <v>35</v>
      </c>
      <c r="B6" s="16" t="s">
        <v>36</v>
      </c>
      <c r="C6" s="15">
        <v>1</v>
      </c>
      <c r="D6" s="15" t="s">
        <v>37</v>
      </c>
      <c r="E6" s="17"/>
      <c r="F6" s="18"/>
      <c r="G6" s="15" t="s">
        <v>38</v>
      </c>
      <c r="H6" s="19"/>
    </row>
    <row r="7" spans="1:8" x14ac:dyDescent="0.3">
      <c r="A7" s="20" t="s">
        <v>39</v>
      </c>
      <c r="B7" s="21" t="s">
        <v>36</v>
      </c>
      <c r="C7" s="20">
        <v>42</v>
      </c>
      <c r="D7" s="20" t="s">
        <v>40</v>
      </c>
      <c r="E7" s="22"/>
      <c r="F7" s="23"/>
      <c r="G7" s="20" t="s">
        <v>38</v>
      </c>
      <c r="H7" s="24"/>
    </row>
    <row r="8" spans="1:8" x14ac:dyDescent="0.3">
      <c r="A8" s="20" t="s">
        <v>41</v>
      </c>
      <c r="B8" s="21" t="s">
        <v>36</v>
      </c>
      <c r="C8" s="20">
        <v>1</v>
      </c>
      <c r="D8" s="20" t="s">
        <v>42</v>
      </c>
      <c r="E8" s="22"/>
      <c r="F8" s="23"/>
      <c r="G8" s="20" t="s">
        <v>38</v>
      </c>
      <c r="H8" s="24"/>
    </row>
    <row r="9" spans="1:8" x14ac:dyDescent="0.3">
      <c r="A9" s="20" t="s">
        <v>43</v>
      </c>
      <c r="B9" s="21" t="s">
        <v>36</v>
      </c>
      <c r="C9" s="20">
        <v>42</v>
      </c>
      <c r="D9" s="20" t="s">
        <v>44</v>
      </c>
      <c r="E9" s="22"/>
      <c r="F9" s="23"/>
      <c r="G9" s="20" t="s">
        <v>38</v>
      </c>
      <c r="H9" s="24"/>
    </row>
    <row r="10" spans="1:8" x14ac:dyDescent="0.3">
      <c r="A10" s="20" t="s">
        <v>45</v>
      </c>
      <c r="B10" s="21" t="s">
        <v>46</v>
      </c>
      <c r="C10" s="20">
        <v>1</v>
      </c>
      <c r="D10" s="20" t="s">
        <v>47</v>
      </c>
      <c r="E10" s="22"/>
      <c r="F10" s="23"/>
      <c r="G10" s="20" t="s">
        <v>38</v>
      </c>
      <c r="H10" s="24"/>
    </row>
    <row r="11" spans="1:8" x14ac:dyDescent="0.3">
      <c r="A11" s="20" t="s">
        <v>48</v>
      </c>
      <c r="B11" s="21" t="s">
        <v>46</v>
      </c>
      <c r="C11" s="20">
        <v>42</v>
      </c>
      <c r="D11" s="20" t="s">
        <v>49</v>
      </c>
      <c r="E11" s="22"/>
      <c r="F11" s="23"/>
      <c r="G11" s="20" t="s">
        <v>38</v>
      </c>
      <c r="H11" s="24"/>
    </row>
    <row r="12" spans="1:8" x14ac:dyDescent="0.3">
      <c r="A12" s="20" t="s">
        <v>50</v>
      </c>
      <c r="B12" s="21" t="s">
        <v>51</v>
      </c>
      <c r="C12" s="20">
        <v>1</v>
      </c>
      <c r="D12" s="20" t="s">
        <v>52</v>
      </c>
      <c r="E12" s="22"/>
      <c r="F12" s="23"/>
      <c r="G12" s="20" t="s">
        <v>38</v>
      </c>
      <c r="H12" s="24"/>
    </row>
    <row r="13" spans="1:8" x14ac:dyDescent="0.3">
      <c r="A13" s="20" t="s">
        <v>53</v>
      </c>
      <c r="B13" s="21" t="s">
        <v>51</v>
      </c>
      <c r="C13" s="20">
        <v>42</v>
      </c>
      <c r="D13" s="20" t="s">
        <v>54</v>
      </c>
      <c r="E13" s="22"/>
      <c r="F13" s="23"/>
      <c r="G13" s="20" t="s">
        <v>38</v>
      </c>
      <c r="H13" s="24"/>
    </row>
    <row r="14" spans="1:8" x14ac:dyDescent="0.3">
      <c r="A14" s="20" t="s">
        <v>55</v>
      </c>
      <c r="B14" s="21" t="s">
        <v>56</v>
      </c>
      <c r="C14" s="20">
        <v>1</v>
      </c>
      <c r="D14" s="20" t="s">
        <v>57</v>
      </c>
      <c r="E14" s="22"/>
      <c r="F14" s="23"/>
      <c r="G14" s="20" t="s">
        <v>38</v>
      </c>
      <c r="H14" s="24"/>
    </row>
    <row r="15" spans="1:8" x14ac:dyDescent="0.3">
      <c r="A15" s="20" t="s">
        <v>58</v>
      </c>
      <c r="B15" s="21" t="s">
        <v>56</v>
      </c>
      <c r="C15" s="20">
        <v>42</v>
      </c>
      <c r="D15" s="20" t="s">
        <v>59</v>
      </c>
      <c r="E15" s="22"/>
      <c r="F15" s="23"/>
      <c r="G15" s="20" t="s">
        <v>38</v>
      </c>
      <c r="H15" s="24"/>
    </row>
    <row r="16" spans="1:8" x14ac:dyDescent="0.3">
      <c r="A16" s="20" t="s">
        <v>60</v>
      </c>
      <c r="B16" s="21" t="s">
        <v>56</v>
      </c>
      <c r="C16" s="20">
        <v>1</v>
      </c>
      <c r="D16" s="20" t="s">
        <v>61</v>
      </c>
      <c r="E16" s="22"/>
      <c r="F16" s="23"/>
      <c r="G16" s="20" t="s">
        <v>38</v>
      </c>
      <c r="H16" s="24"/>
    </row>
    <row r="17" spans="1:8" x14ac:dyDescent="0.3">
      <c r="A17" s="20" t="s">
        <v>62</v>
      </c>
      <c r="B17" s="21" t="s">
        <v>56</v>
      </c>
      <c r="C17" s="20">
        <v>42</v>
      </c>
      <c r="D17" s="20" t="s">
        <v>63</v>
      </c>
      <c r="E17" s="22"/>
      <c r="F17" s="23"/>
      <c r="G17" s="20" t="s">
        <v>38</v>
      </c>
      <c r="H17" s="24"/>
    </row>
    <row r="18" spans="1:8" x14ac:dyDescent="0.3">
      <c r="A18" s="20" t="s">
        <v>64</v>
      </c>
      <c r="B18" s="21" t="s">
        <v>56</v>
      </c>
      <c r="C18" s="20">
        <v>1</v>
      </c>
      <c r="D18" s="20" t="s">
        <v>65</v>
      </c>
      <c r="E18" s="22"/>
      <c r="F18" s="23"/>
      <c r="G18" s="20" t="s">
        <v>38</v>
      </c>
      <c r="H18" s="24"/>
    </row>
    <row r="19" spans="1:8" x14ac:dyDescent="0.3">
      <c r="A19" s="20" t="s">
        <v>66</v>
      </c>
      <c r="B19" s="21" t="s">
        <v>56</v>
      </c>
      <c r="C19" s="20">
        <v>42</v>
      </c>
      <c r="D19" s="20" t="s">
        <v>67</v>
      </c>
      <c r="E19" s="22"/>
      <c r="F19" s="23"/>
      <c r="G19" s="20" t="s">
        <v>38</v>
      </c>
      <c r="H19" s="24"/>
    </row>
    <row r="20" spans="1:8" x14ac:dyDescent="0.3">
      <c r="A20" s="20" t="s">
        <v>68</v>
      </c>
      <c r="B20" s="21" t="s">
        <v>56</v>
      </c>
      <c r="C20" s="20">
        <v>1</v>
      </c>
      <c r="D20" s="20" t="s">
        <v>69</v>
      </c>
      <c r="E20" s="22"/>
      <c r="F20" s="23"/>
      <c r="G20" s="20" t="s">
        <v>38</v>
      </c>
      <c r="H20" s="24"/>
    </row>
    <row r="21" spans="1:8" x14ac:dyDescent="0.3">
      <c r="A21" s="20" t="s">
        <v>70</v>
      </c>
      <c r="B21" s="21" t="s">
        <v>56</v>
      </c>
      <c r="C21" s="20">
        <v>42</v>
      </c>
      <c r="D21" s="20" t="s">
        <v>71</v>
      </c>
      <c r="E21" s="22"/>
      <c r="F21" s="23"/>
      <c r="G21" s="20" t="s">
        <v>38</v>
      </c>
      <c r="H21" s="24"/>
    </row>
    <row r="22" spans="1:8" x14ac:dyDescent="0.3">
      <c r="A22" s="20" t="s">
        <v>72</v>
      </c>
      <c r="B22" s="21" t="s">
        <v>73</v>
      </c>
      <c r="C22" s="20">
        <v>1</v>
      </c>
      <c r="D22" s="20" t="s">
        <v>74</v>
      </c>
      <c r="E22" s="22"/>
      <c r="F22" s="23"/>
      <c r="G22" s="20" t="s">
        <v>38</v>
      </c>
      <c r="H22" s="24"/>
    </row>
    <row r="23" spans="1:8" x14ac:dyDescent="0.3">
      <c r="A23" s="20" t="s">
        <v>75</v>
      </c>
      <c r="B23" s="21" t="s">
        <v>73</v>
      </c>
      <c r="C23" s="20">
        <v>1</v>
      </c>
      <c r="D23" s="20" t="s">
        <v>76</v>
      </c>
      <c r="E23" s="22"/>
      <c r="F23" s="23"/>
      <c r="G23" s="20" t="s">
        <v>38</v>
      </c>
      <c r="H23" s="24"/>
    </row>
    <row r="24" spans="1:8" x14ac:dyDescent="0.3">
      <c r="A24" s="20" t="s">
        <v>77</v>
      </c>
      <c r="B24" s="21" t="s">
        <v>73</v>
      </c>
      <c r="C24" s="20">
        <v>1</v>
      </c>
      <c r="D24" s="20" t="s">
        <v>78</v>
      </c>
      <c r="E24" s="22"/>
      <c r="F24" s="23"/>
      <c r="G24" s="20" t="s">
        <v>38</v>
      </c>
      <c r="H24" s="24"/>
    </row>
    <row r="25" spans="1:8" x14ac:dyDescent="0.3">
      <c r="A25" s="20" t="s">
        <v>79</v>
      </c>
      <c r="B25" s="21" t="s">
        <v>73</v>
      </c>
      <c r="C25" s="20">
        <v>42</v>
      </c>
      <c r="D25" s="20" t="s">
        <v>80</v>
      </c>
      <c r="E25" s="22"/>
      <c r="F25" s="23"/>
      <c r="G25" s="20" t="s">
        <v>38</v>
      </c>
      <c r="H25" s="24"/>
    </row>
    <row r="26" spans="1:8" x14ac:dyDescent="0.3">
      <c r="A26" s="20" t="s">
        <v>81</v>
      </c>
      <c r="B26" s="21" t="s">
        <v>73</v>
      </c>
      <c r="C26" s="20">
        <v>42</v>
      </c>
      <c r="D26" s="20" t="s">
        <v>82</v>
      </c>
      <c r="E26" s="22"/>
      <c r="F26" s="23"/>
      <c r="G26" s="20" t="s">
        <v>38</v>
      </c>
      <c r="H26" s="24"/>
    </row>
    <row r="27" spans="1:8" x14ac:dyDescent="0.3">
      <c r="A27" s="20" t="s">
        <v>83</v>
      </c>
      <c r="B27" s="21" t="s">
        <v>73</v>
      </c>
      <c r="C27" s="20">
        <v>42</v>
      </c>
      <c r="D27" s="20" t="s">
        <v>84</v>
      </c>
      <c r="E27" s="22"/>
      <c r="F27" s="23"/>
      <c r="G27" s="20" t="s">
        <v>38</v>
      </c>
      <c r="H27" s="24"/>
    </row>
    <row r="28" spans="1:8" x14ac:dyDescent="0.3">
      <c r="A28" s="20" t="s">
        <v>85</v>
      </c>
      <c r="B28" s="21" t="s">
        <v>73</v>
      </c>
      <c r="C28" s="20">
        <v>1</v>
      </c>
      <c r="D28" s="20" t="s">
        <v>86</v>
      </c>
      <c r="E28" s="22"/>
      <c r="F28" s="23"/>
      <c r="G28" s="20" t="s">
        <v>38</v>
      </c>
      <c r="H28" s="24"/>
    </row>
    <row r="29" spans="1:8" x14ac:dyDescent="0.3">
      <c r="A29" s="20" t="s">
        <v>87</v>
      </c>
      <c r="B29" s="21" t="s">
        <v>73</v>
      </c>
      <c r="C29" s="20">
        <v>42</v>
      </c>
      <c r="D29" s="20" t="s">
        <v>88</v>
      </c>
      <c r="E29" s="22"/>
      <c r="F29" s="23"/>
      <c r="G29" s="20" t="s">
        <v>38</v>
      </c>
      <c r="H29" s="24"/>
    </row>
    <row r="30" spans="1:8" x14ac:dyDescent="0.3">
      <c r="A30" s="20" t="s">
        <v>89</v>
      </c>
      <c r="B30" s="21" t="s">
        <v>73</v>
      </c>
      <c r="C30" s="20">
        <v>1</v>
      </c>
      <c r="D30" s="20" t="s">
        <v>90</v>
      </c>
      <c r="E30" s="22"/>
      <c r="F30" s="23"/>
      <c r="G30" s="20" t="s">
        <v>38</v>
      </c>
      <c r="H30" s="24"/>
    </row>
    <row r="31" spans="1:8" x14ac:dyDescent="0.3">
      <c r="A31" s="20" t="s">
        <v>91</v>
      </c>
      <c r="B31" s="21" t="s">
        <v>73</v>
      </c>
      <c r="C31" s="20">
        <v>42</v>
      </c>
      <c r="D31" s="20" t="s">
        <v>92</v>
      </c>
      <c r="E31" s="22"/>
      <c r="F31" s="23"/>
      <c r="G31" s="20" t="s">
        <v>38</v>
      </c>
      <c r="H31" s="24"/>
    </row>
    <row r="32" spans="1:8" x14ac:dyDescent="0.3">
      <c r="A32" s="20" t="s">
        <v>93</v>
      </c>
      <c r="B32" s="21" t="s">
        <v>73</v>
      </c>
      <c r="C32" s="20">
        <v>1</v>
      </c>
      <c r="D32" s="20" t="s">
        <v>94</v>
      </c>
      <c r="E32" s="22"/>
      <c r="F32" s="23"/>
      <c r="G32" s="20" t="s">
        <v>38</v>
      </c>
      <c r="H32" s="24"/>
    </row>
    <row r="33" spans="1:8" x14ac:dyDescent="0.3">
      <c r="A33" s="20" t="s">
        <v>95</v>
      </c>
      <c r="B33" s="21" t="s">
        <v>73</v>
      </c>
      <c r="C33" s="20">
        <v>42</v>
      </c>
      <c r="D33" s="20" t="s">
        <v>96</v>
      </c>
      <c r="E33" s="22"/>
      <c r="F33" s="23"/>
      <c r="G33" s="20" t="s">
        <v>38</v>
      </c>
      <c r="H33" s="24"/>
    </row>
    <row r="34" spans="1:8" x14ac:dyDescent="0.3">
      <c r="A34" s="20" t="s">
        <v>97</v>
      </c>
      <c r="B34" s="21" t="s">
        <v>73</v>
      </c>
      <c r="C34" s="20">
        <v>1</v>
      </c>
      <c r="D34" s="20" t="s">
        <v>98</v>
      </c>
      <c r="E34" s="22"/>
      <c r="F34" s="23"/>
      <c r="G34" s="20" t="s">
        <v>38</v>
      </c>
      <c r="H34" s="24"/>
    </row>
    <row r="35" spans="1:8" x14ac:dyDescent="0.3">
      <c r="A35" s="20" t="s">
        <v>99</v>
      </c>
      <c r="B35" s="21" t="s">
        <v>73</v>
      </c>
      <c r="C35" s="20">
        <v>42</v>
      </c>
      <c r="D35" s="20" t="s">
        <v>100</v>
      </c>
      <c r="E35" s="22"/>
      <c r="F35" s="23"/>
      <c r="G35" s="20" t="s">
        <v>38</v>
      </c>
      <c r="H35" s="24"/>
    </row>
    <row r="36" spans="1:8" x14ac:dyDescent="0.3">
      <c r="A36" s="20" t="s">
        <v>101</v>
      </c>
      <c r="B36" s="21" t="s">
        <v>73</v>
      </c>
      <c r="C36" s="20">
        <v>1</v>
      </c>
      <c r="D36" s="20" t="s">
        <v>102</v>
      </c>
      <c r="E36" s="22"/>
      <c r="F36" s="23"/>
      <c r="G36" s="20" t="s">
        <v>38</v>
      </c>
      <c r="H36" s="24"/>
    </row>
    <row r="37" spans="1:8" x14ac:dyDescent="0.3">
      <c r="A37" s="20" t="s">
        <v>103</v>
      </c>
      <c r="B37" s="21" t="s">
        <v>73</v>
      </c>
      <c r="C37" s="20">
        <v>42</v>
      </c>
      <c r="D37" s="20" t="s">
        <v>104</v>
      </c>
      <c r="E37" s="22"/>
      <c r="F37" s="23"/>
      <c r="G37" s="20" t="s">
        <v>38</v>
      </c>
      <c r="H37" s="24"/>
    </row>
    <row r="38" spans="1:8" x14ac:dyDescent="0.3">
      <c r="A38" s="20" t="s">
        <v>105</v>
      </c>
      <c r="B38" s="21" t="s">
        <v>73</v>
      </c>
      <c r="C38" s="20">
        <v>1</v>
      </c>
      <c r="D38" s="20" t="s">
        <v>106</v>
      </c>
      <c r="E38" s="22"/>
      <c r="F38" s="23"/>
      <c r="G38" s="20" t="s">
        <v>38</v>
      </c>
      <c r="H38" s="24"/>
    </row>
    <row r="39" spans="1:8" x14ac:dyDescent="0.3">
      <c r="A39" s="20" t="s">
        <v>107</v>
      </c>
      <c r="B39" s="21" t="s">
        <v>73</v>
      </c>
      <c r="C39" s="20">
        <v>42</v>
      </c>
      <c r="D39" s="20" t="s">
        <v>108</v>
      </c>
      <c r="E39" s="22"/>
      <c r="F39" s="23"/>
      <c r="G39" s="20" t="s">
        <v>38</v>
      </c>
      <c r="H39" s="24"/>
    </row>
    <row r="40" spans="1:8" x14ac:dyDescent="0.3">
      <c r="A40" s="20" t="s">
        <v>109</v>
      </c>
      <c r="B40" s="21" t="s">
        <v>73</v>
      </c>
      <c r="C40" s="20">
        <v>1</v>
      </c>
      <c r="D40" s="20" t="s">
        <v>110</v>
      </c>
      <c r="E40" s="22"/>
      <c r="F40" s="23"/>
      <c r="G40" s="20" t="s">
        <v>38</v>
      </c>
      <c r="H40" s="24"/>
    </row>
    <row r="41" spans="1:8" x14ac:dyDescent="0.3">
      <c r="A41" s="20" t="s">
        <v>111</v>
      </c>
      <c r="B41" s="21" t="s">
        <v>73</v>
      </c>
      <c r="C41" s="20">
        <v>42</v>
      </c>
      <c r="D41" s="20" t="s">
        <v>112</v>
      </c>
      <c r="E41" s="22"/>
      <c r="F41" s="23"/>
      <c r="G41" s="20" t="s">
        <v>38</v>
      </c>
      <c r="H41" s="24"/>
    </row>
    <row r="42" spans="1:8" x14ac:dyDescent="0.3">
      <c r="A42" s="20" t="s">
        <v>113</v>
      </c>
      <c r="B42" s="21" t="s">
        <v>73</v>
      </c>
      <c r="C42" s="20">
        <v>1</v>
      </c>
      <c r="D42" s="20" t="s">
        <v>114</v>
      </c>
      <c r="E42" s="22"/>
      <c r="F42" s="23"/>
      <c r="G42" s="20" t="s">
        <v>38</v>
      </c>
      <c r="H42" s="24"/>
    </row>
    <row r="43" spans="1:8" x14ac:dyDescent="0.3">
      <c r="A43" s="20" t="s">
        <v>115</v>
      </c>
      <c r="B43" s="21" t="s">
        <v>73</v>
      </c>
      <c r="C43" s="20">
        <v>42</v>
      </c>
      <c r="D43" s="20" t="s">
        <v>116</v>
      </c>
      <c r="E43" s="22"/>
      <c r="F43" s="23"/>
      <c r="G43" s="20" t="s">
        <v>38</v>
      </c>
      <c r="H43" s="24"/>
    </row>
    <row r="44" spans="1:8" x14ac:dyDescent="0.3">
      <c r="A44" s="20" t="s">
        <v>117</v>
      </c>
      <c r="B44" s="21" t="s">
        <v>118</v>
      </c>
      <c r="C44" s="20">
        <v>1</v>
      </c>
      <c r="D44" s="20" t="s">
        <v>119</v>
      </c>
      <c r="E44" s="22"/>
      <c r="F44" s="23"/>
      <c r="G44" s="20" t="s">
        <v>38</v>
      </c>
      <c r="H44" s="24"/>
    </row>
    <row r="45" spans="1:8" x14ac:dyDescent="0.3">
      <c r="A45" s="20" t="s">
        <v>120</v>
      </c>
      <c r="B45" s="21" t="s">
        <v>118</v>
      </c>
      <c r="C45" s="20">
        <v>1</v>
      </c>
      <c r="D45" s="20" t="s">
        <v>121</v>
      </c>
      <c r="E45" s="22"/>
      <c r="F45" s="23"/>
      <c r="G45" s="20" t="s">
        <v>38</v>
      </c>
      <c r="H45" s="24"/>
    </row>
    <row r="46" spans="1:8" x14ac:dyDescent="0.3">
      <c r="A46" s="20" t="s">
        <v>122</v>
      </c>
      <c r="B46" s="21" t="s">
        <v>118</v>
      </c>
      <c r="C46" s="20">
        <v>42</v>
      </c>
      <c r="D46" s="20" t="s">
        <v>123</v>
      </c>
      <c r="E46" s="22"/>
      <c r="F46" s="23"/>
      <c r="G46" s="20" t="s">
        <v>38</v>
      </c>
      <c r="H46" s="24"/>
    </row>
    <row r="47" spans="1:8" x14ac:dyDescent="0.3">
      <c r="A47" s="20" t="s">
        <v>124</v>
      </c>
      <c r="B47" s="21" t="s">
        <v>118</v>
      </c>
      <c r="C47" s="20">
        <v>42</v>
      </c>
      <c r="D47" s="20" t="s">
        <v>125</v>
      </c>
      <c r="E47" s="22"/>
      <c r="F47" s="23"/>
      <c r="G47" s="20" t="s">
        <v>38</v>
      </c>
      <c r="H47" s="24"/>
    </row>
    <row r="48" spans="1:8" x14ac:dyDescent="0.3">
      <c r="A48" s="20" t="s">
        <v>126</v>
      </c>
      <c r="B48" s="21" t="s">
        <v>118</v>
      </c>
      <c r="C48" s="20">
        <v>1</v>
      </c>
      <c r="D48" s="20" t="s">
        <v>127</v>
      </c>
      <c r="E48" s="22"/>
      <c r="F48" s="23"/>
      <c r="G48" s="20" t="s">
        <v>38</v>
      </c>
      <c r="H48" s="24"/>
    </row>
    <row r="49" spans="1:8" x14ac:dyDescent="0.3">
      <c r="A49" s="20" t="s">
        <v>128</v>
      </c>
      <c r="B49" s="21" t="s">
        <v>118</v>
      </c>
      <c r="C49" s="20">
        <v>42</v>
      </c>
      <c r="D49" s="20" t="s">
        <v>129</v>
      </c>
      <c r="E49" s="22"/>
      <c r="F49" s="23"/>
      <c r="G49" s="20" t="s">
        <v>38</v>
      </c>
      <c r="H49" s="24"/>
    </row>
    <row r="50" spans="1:8" x14ac:dyDescent="0.3">
      <c r="A50" s="20" t="s">
        <v>130</v>
      </c>
      <c r="B50" s="21" t="s">
        <v>118</v>
      </c>
      <c r="C50" s="20">
        <v>1</v>
      </c>
      <c r="D50" s="20" t="s">
        <v>131</v>
      </c>
      <c r="E50" s="22"/>
      <c r="F50" s="23"/>
      <c r="G50" s="20" t="s">
        <v>38</v>
      </c>
      <c r="H50" s="24"/>
    </row>
    <row r="51" spans="1:8" x14ac:dyDescent="0.3">
      <c r="A51" s="20" t="s">
        <v>132</v>
      </c>
      <c r="B51" s="21" t="s">
        <v>118</v>
      </c>
      <c r="C51" s="20">
        <v>42</v>
      </c>
      <c r="D51" s="20" t="s">
        <v>133</v>
      </c>
      <c r="E51" s="22"/>
      <c r="F51" s="23"/>
      <c r="G51" s="20" t="s">
        <v>38</v>
      </c>
      <c r="H51" s="24"/>
    </row>
    <row r="52" spans="1:8" x14ac:dyDescent="0.3">
      <c r="A52" s="20" t="s">
        <v>134</v>
      </c>
      <c r="B52" s="21" t="s">
        <v>118</v>
      </c>
      <c r="C52" s="20">
        <v>1</v>
      </c>
      <c r="D52" s="20" t="s">
        <v>135</v>
      </c>
      <c r="E52" s="22"/>
      <c r="F52" s="23"/>
      <c r="G52" s="20" t="s">
        <v>38</v>
      </c>
      <c r="H52" s="24"/>
    </row>
    <row r="53" spans="1:8" x14ac:dyDescent="0.3">
      <c r="A53" s="20" t="s">
        <v>136</v>
      </c>
      <c r="B53" s="21" t="s">
        <v>118</v>
      </c>
      <c r="C53" s="20">
        <v>1</v>
      </c>
      <c r="D53" s="20" t="s">
        <v>137</v>
      </c>
      <c r="E53" s="22"/>
      <c r="F53" s="23"/>
      <c r="G53" s="20" t="s">
        <v>38</v>
      </c>
      <c r="H53" s="24"/>
    </row>
    <row r="54" spans="1:8" x14ac:dyDescent="0.3">
      <c r="A54" s="20" t="s">
        <v>138</v>
      </c>
      <c r="B54" s="21" t="s">
        <v>118</v>
      </c>
      <c r="C54" s="20">
        <v>42</v>
      </c>
      <c r="D54" s="20" t="s">
        <v>139</v>
      </c>
      <c r="E54" s="22"/>
      <c r="F54" s="23"/>
      <c r="G54" s="20" t="s">
        <v>38</v>
      </c>
      <c r="H54" s="24"/>
    </row>
    <row r="55" spans="1:8" x14ac:dyDescent="0.3">
      <c r="A55" s="20" t="s">
        <v>140</v>
      </c>
      <c r="B55" s="21" t="s">
        <v>118</v>
      </c>
      <c r="C55" s="20">
        <v>42</v>
      </c>
      <c r="D55" s="20" t="s">
        <v>141</v>
      </c>
      <c r="E55" s="22"/>
      <c r="F55" s="23"/>
      <c r="G55" s="20" t="s">
        <v>38</v>
      </c>
      <c r="H55" s="24"/>
    </row>
    <row r="56" spans="1:8" x14ac:dyDescent="0.3">
      <c r="A56" s="20" t="s">
        <v>142</v>
      </c>
      <c r="B56" s="21" t="s">
        <v>118</v>
      </c>
      <c r="C56" s="20">
        <v>1</v>
      </c>
      <c r="D56" s="20" t="s">
        <v>143</v>
      </c>
      <c r="E56" s="22"/>
      <c r="F56" s="23"/>
      <c r="G56" s="20" t="s">
        <v>38</v>
      </c>
      <c r="H56" s="24"/>
    </row>
    <row r="57" spans="1:8" x14ac:dyDescent="0.3">
      <c r="A57" s="20" t="s">
        <v>144</v>
      </c>
      <c r="B57" s="21" t="s">
        <v>118</v>
      </c>
      <c r="C57" s="20">
        <v>42</v>
      </c>
      <c r="D57" s="20" t="s">
        <v>145</v>
      </c>
      <c r="E57" s="22"/>
      <c r="F57" s="23"/>
      <c r="G57" s="20" t="s">
        <v>38</v>
      </c>
      <c r="H57" s="24"/>
    </row>
    <row r="58" spans="1:8" x14ac:dyDescent="0.3">
      <c r="A58" s="20" t="s">
        <v>146</v>
      </c>
      <c r="B58" s="21" t="s">
        <v>118</v>
      </c>
      <c r="C58" s="20">
        <v>1</v>
      </c>
      <c r="D58" s="20" t="s">
        <v>147</v>
      </c>
      <c r="E58" s="22"/>
      <c r="F58" s="23"/>
      <c r="G58" s="20" t="s">
        <v>38</v>
      </c>
      <c r="H58" s="24"/>
    </row>
    <row r="59" spans="1:8" x14ac:dyDescent="0.3">
      <c r="A59" s="20" t="s">
        <v>148</v>
      </c>
      <c r="B59" s="21" t="s">
        <v>118</v>
      </c>
      <c r="C59" s="20">
        <v>42</v>
      </c>
      <c r="D59" s="20" t="s">
        <v>149</v>
      </c>
      <c r="E59" s="22"/>
      <c r="F59" s="23"/>
      <c r="G59" s="20" t="s">
        <v>38</v>
      </c>
      <c r="H59" s="24"/>
    </row>
    <row r="60" spans="1:8" x14ac:dyDescent="0.3">
      <c r="A60" s="20" t="s">
        <v>150</v>
      </c>
      <c r="B60" s="21" t="s">
        <v>118</v>
      </c>
      <c r="C60" s="20">
        <v>1</v>
      </c>
      <c r="D60" s="20" t="s">
        <v>151</v>
      </c>
      <c r="E60" s="22"/>
      <c r="F60" s="23"/>
      <c r="G60" s="20" t="s">
        <v>38</v>
      </c>
      <c r="H60" s="24"/>
    </row>
    <row r="61" spans="1:8" x14ac:dyDescent="0.3">
      <c r="A61" s="25" t="s">
        <v>152</v>
      </c>
      <c r="B61" s="26" t="s">
        <v>118</v>
      </c>
      <c r="C61" s="25">
        <v>42</v>
      </c>
      <c r="D61" s="25" t="s">
        <v>153</v>
      </c>
      <c r="E61" s="27"/>
      <c r="F61" s="28"/>
      <c r="G61" s="25" t="s">
        <v>38</v>
      </c>
      <c r="H61" s="29"/>
    </row>
  </sheetData>
  <pageMargins left="0.7" right="0.7" top="0.75" bottom="0.75" header="0.3" footer="0.3"/>
  <pageSetup paperSize="9" scale="70" orientation="landscape" horizontalDpi="150" verticalDpi="0" r:id="rId1"/>
  <headerFooter>
    <oddFooter>&amp;LOns Middelbaar Onderwijs                                    
CONCEPT PER 01-01-2022&amp;ROpmaakdatum: 07-12-2021
Intexso - De Start 5 - Leusden
+31 (33) 2778485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C12F-D395-4493-A23F-FEA36BC1E9FD}">
  <dimension ref="A1:N42"/>
  <sheetViews>
    <sheetView workbookViewId="0"/>
  </sheetViews>
  <sheetFormatPr defaultRowHeight="14.4" x14ac:dyDescent="0.3"/>
  <cols>
    <col min="1" max="1" width="7.77734375" customWidth="1"/>
    <col min="2" max="2" width="6.77734375" customWidth="1"/>
    <col min="3" max="3" width="12.77734375" customWidth="1"/>
    <col min="4" max="4" width="35.77734375" customWidth="1"/>
    <col min="5" max="5" width="12.77734375" customWidth="1"/>
    <col min="6" max="8" width="11.77734375" customWidth="1"/>
    <col min="9" max="9" width="9.77734375" customWidth="1"/>
    <col min="10" max="12" width="11.77734375" customWidth="1"/>
    <col min="13" max="13" width="12.77734375" customWidth="1"/>
    <col min="14" max="14" width="14.77734375" customWidth="1"/>
  </cols>
  <sheetData>
    <row r="1" spans="1:14" x14ac:dyDescent="0.3">
      <c r="A1" s="1" t="str">
        <f>CONCATENATE("Bijlage G.2: ",tabeltype," regulier werk")</f>
        <v>Bijlage G.2: Invultabel regulier werk</v>
      </c>
    </row>
    <row r="3" spans="1:14" ht="43.2" x14ac:dyDescent="0.3">
      <c r="A3" s="8" t="s">
        <v>154</v>
      </c>
      <c r="B3" s="8" t="s">
        <v>7</v>
      </c>
      <c r="C3" s="8" t="s">
        <v>155</v>
      </c>
      <c r="D3" s="8" t="s">
        <v>29</v>
      </c>
      <c r="E3" s="8" t="s">
        <v>156</v>
      </c>
      <c r="F3" s="8" t="s">
        <v>157</v>
      </c>
      <c r="G3" s="8" t="s">
        <v>30</v>
      </c>
      <c r="H3" s="8" t="s">
        <v>31</v>
      </c>
      <c r="I3" s="8" t="s">
        <v>32</v>
      </c>
      <c r="J3" s="8" t="s">
        <v>33</v>
      </c>
      <c r="K3" s="8" t="s">
        <v>158</v>
      </c>
      <c r="L3" s="8" t="s">
        <v>159</v>
      </c>
      <c r="M3" s="8" t="s">
        <v>160</v>
      </c>
      <c r="N3" s="8" t="s">
        <v>161</v>
      </c>
    </row>
    <row r="4" spans="1:14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x14ac:dyDescent="0.3">
      <c r="A5" s="12" t="s">
        <v>34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x14ac:dyDescent="0.3">
      <c r="A6" s="15" t="s">
        <v>162</v>
      </c>
      <c r="B6" s="15" t="s">
        <v>13</v>
      </c>
      <c r="C6" s="15" t="s">
        <v>163</v>
      </c>
      <c r="D6" s="15" t="s">
        <v>164</v>
      </c>
      <c r="E6" s="30">
        <v>520</v>
      </c>
      <c r="F6" s="30">
        <f t="shared" ref="F6:F36" si="0">E6*VLOOKUP(B6,dagsoorttabel1,2,FALSE)</f>
        <v>214.11764705882351</v>
      </c>
      <c r="G6" s="31">
        <f>IF(AND(catpn_1_BKHB_1&gt;0,catpn_1_BKHV_42&gt;0),(dagenperjaar1*VLOOKUP(B6,dagsoorttabel1,2,FALSE))/(((dagenperjaar1*VLOOKUP(B6,dagsoorttabel1,2,FALSE))-catfd_1_BKHV_42)/catpn_1_BKHB_1+catfd_1_BKHV_42/catpn_1_BKHV_42),0)</f>
        <v>0</v>
      </c>
      <c r="H6" s="32">
        <f>IF(AND(catpn_1_BKHB_1&gt;0,catpn_1_BKHV_42&gt;0),(catdw_1_BKHB_1*((dagenperjaar1-VLOOKUP(B6,dagsoorttabel1,2,FALSE))-catfd_1_BKHV_42)/catpn_1_BKHB_1+catdw_1_BKHV_42*catfd_1_BKHV_42/catpn_1_BKHV_42)/(((dagenperjaar1-VLOOKUP(B6,dagsoorttabel1,2,FALSE))-catfd_1_BKHV_42)/catpn_1_BKHB_1+catfd_1_BKHV_42/catpn_1_BKHV_42),0)</f>
        <v>0</v>
      </c>
      <c r="I6" s="15" t="s">
        <v>38</v>
      </c>
      <c r="J6" s="33">
        <f>IF(AND(catpn_1_BKHB_1&gt;0,catpn_1_BKHV_42&gt;0),(cattf_1_BKHB_1*((dagenperjaar1*VLOOKUP(B6,dagsoorttabel1,2,FALSE))-catfd_1_BKHV_42)/catpn_1_BKHB_1+cattf_1_BKHV_42*catfd_1_BKHV_42/catpn_1_BKHV_42)/(((dagenperjaar1*VLOOKUP(B6,dagsoorttabel1,2,FALSE))-catfd_1_BKHV_42)/catpn_1_BKHB_1+catfd_1_BKHV_42/catpn_1_BKHV_42),0)</f>
        <v>0</v>
      </c>
      <c r="K6" s="30">
        <f t="shared" ref="K6:K36" si="1">IF(OR(ISBLANK(G6),G6=0),0,F6/ROUND(G6,4))</f>
        <v>0</v>
      </c>
      <c r="L6" s="33">
        <f t="shared" ref="L6:L36" si="2">ROUND(J6,2)*K6</f>
        <v>0</v>
      </c>
      <c r="M6" s="30">
        <f t="shared" ref="M6:M36" si="3">K6*dagenperjaar1</f>
        <v>0</v>
      </c>
      <c r="N6" s="33">
        <f t="shared" ref="N6:N36" si="4">M6*ROUND(J6,2)</f>
        <v>0</v>
      </c>
    </row>
    <row r="7" spans="1:14" x14ac:dyDescent="0.3">
      <c r="A7" s="20" t="s">
        <v>165</v>
      </c>
      <c r="B7" s="20" t="s">
        <v>13</v>
      </c>
      <c r="C7" s="20" t="s">
        <v>163</v>
      </c>
      <c r="D7" s="20" t="s">
        <v>166</v>
      </c>
      <c r="E7" s="34">
        <v>507</v>
      </c>
      <c r="F7" s="34">
        <f t="shared" si="0"/>
        <v>208.76470588235293</v>
      </c>
      <c r="G7" s="35">
        <f>IF(AND(catpn_1_BKZB_1&gt;0,catpn_1_BKZV_42&gt;0),(dagenperjaar1*VLOOKUP(B7,dagsoorttabel1,2,FALSE))/(((dagenperjaar1*VLOOKUP(B7,dagsoorttabel1,2,FALSE))-catfd_1_BKZV_42)/catpn_1_BKZB_1+catfd_1_BKZV_42/catpn_1_BKZV_42),0)</f>
        <v>0</v>
      </c>
      <c r="H7" s="36">
        <f>IF(AND(catpn_1_BKZB_1&gt;0,catpn_1_BKZV_42&gt;0),(catdw_1_BKZB_1*((dagenperjaar1-VLOOKUP(B7,dagsoorttabel1,2,FALSE))-catfd_1_BKZV_42)/catpn_1_BKZB_1+catdw_1_BKZV_42*catfd_1_BKZV_42/catpn_1_BKZV_42)/(((dagenperjaar1-VLOOKUP(B7,dagsoorttabel1,2,FALSE))-catfd_1_BKZV_42)/catpn_1_BKZB_1+catfd_1_BKZV_42/catpn_1_BKZV_42),0)</f>
        <v>0</v>
      </c>
      <c r="I7" s="20" t="s">
        <v>38</v>
      </c>
      <c r="J7" s="37">
        <f>IF(AND(catpn_1_BKZB_1&gt;0,catpn_1_BKZV_42&gt;0),(cattf_1_BKZB_1*((dagenperjaar1*VLOOKUP(B7,dagsoorttabel1,2,FALSE))-catfd_1_BKZV_42)/catpn_1_BKZB_1+cattf_1_BKZV_42*catfd_1_BKZV_42/catpn_1_BKZV_42)/(((dagenperjaar1*VLOOKUP(B7,dagsoorttabel1,2,FALSE))-catfd_1_BKZV_42)/catpn_1_BKZB_1+catfd_1_BKZV_42/catpn_1_BKZV_42),0)</f>
        <v>0</v>
      </c>
      <c r="K7" s="34">
        <f t="shared" si="1"/>
        <v>0</v>
      </c>
      <c r="L7" s="37">
        <f t="shared" si="2"/>
        <v>0</v>
      </c>
      <c r="M7" s="34">
        <f t="shared" si="3"/>
        <v>0</v>
      </c>
      <c r="N7" s="37">
        <f t="shared" si="4"/>
        <v>0</v>
      </c>
    </row>
    <row r="8" spans="1:14" x14ac:dyDescent="0.3">
      <c r="A8" s="20" t="s">
        <v>167</v>
      </c>
      <c r="B8" s="20" t="s">
        <v>10</v>
      </c>
      <c r="C8" s="20" t="s">
        <v>163</v>
      </c>
      <c r="D8" s="20" t="s">
        <v>168</v>
      </c>
      <c r="E8" s="34">
        <v>1193</v>
      </c>
      <c r="F8" s="34">
        <f t="shared" si="0"/>
        <v>982.47058823529403</v>
      </c>
      <c r="G8" s="35">
        <f>IF(AND(catpn_1_GSHB_1&gt;0,catpn_1_GSHV_42&gt;0),(dagenperjaar1*VLOOKUP(B8,dagsoorttabel1,2,FALSE))/(((dagenperjaar1*VLOOKUP(B8,dagsoorttabel1,2,FALSE))-catfd_1_GSHV_42)/catpn_1_GSHB_1+catfd_1_GSHV_42/catpn_1_GSHV_42),0)</f>
        <v>0</v>
      </c>
      <c r="H8" s="36">
        <f>IF(AND(catpn_1_GSHB_1&gt;0,catpn_1_GSHV_42&gt;0),(catdw_1_GSHB_1*((dagenperjaar1-VLOOKUP(B8,dagsoorttabel1,2,FALSE))-catfd_1_GSHV_42)/catpn_1_GSHB_1+catdw_1_GSHV_42*catfd_1_GSHV_42/catpn_1_GSHV_42)/(((dagenperjaar1-VLOOKUP(B8,dagsoorttabel1,2,FALSE))-catfd_1_GSHV_42)/catpn_1_GSHB_1+catfd_1_GSHV_42/catpn_1_GSHV_42),0)</f>
        <v>0</v>
      </c>
      <c r="I8" s="20" t="s">
        <v>38</v>
      </c>
      <c r="J8" s="37">
        <f>IF(AND(catpn_1_GSHB_1&gt;0,catpn_1_GSHV_42&gt;0),(cattf_1_GSHB_1*((dagenperjaar1*VLOOKUP(B8,dagsoorttabel1,2,FALSE))-catfd_1_GSHV_42)/catpn_1_GSHB_1+cattf_1_GSHV_42*catfd_1_GSHV_42/catpn_1_GSHV_42)/(((dagenperjaar1*VLOOKUP(B8,dagsoorttabel1,2,FALSE))-catfd_1_GSHV_42)/catpn_1_GSHB_1+catfd_1_GSHV_42/catpn_1_GSHV_42),0)</f>
        <v>0</v>
      </c>
      <c r="K8" s="34">
        <f t="shared" si="1"/>
        <v>0</v>
      </c>
      <c r="L8" s="37">
        <f t="shared" si="2"/>
        <v>0</v>
      </c>
      <c r="M8" s="34">
        <f t="shared" si="3"/>
        <v>0</v>
      </c>
      <c r="N8" s="37">
        <f t="shared" si="4"/>
        <v>0</v>
      </c>
    </row>
    <row r="9" spans="1:14" x14ac:dyDescent="0.3">
      <c r="A9" s="20" t="s">
        <v>169</v>
      </c>
      <c r="B9" s="20" t="s">
        <v>10</v>
      </c>
      <c r="C9" s="20" t="s">
        <v>163</v>
      </c>
      <c r="D9" s="20" t="s">
        <v>170</v>
      </c>
      <c r="E9" s="34">
        <v>216</v>
      </c>
      <c r="F9" s="34">
        <f t="shared" si="0"/>
        <v>177.88235294117646</v>
      </c>
      <c r="G9" s="35">
        <f>IF(AND(catpn_1_GTHB_1&gt;0,catpn_1_GTHV_42&gt;0),(dagenperjaar1*VLOOKUP(B9,dagsoorttabel1,2,FALSE))/(((dagenperjaar1*VLOOKUP(B9,dagsoorttabel1,2,FALSE))-catfd_1_GTHV_42)/catpn_1_GTHB_1+catfd_1_GTHV_42/catpn_1_GTHV_42),0)</f>
        <v>0</v>
      </c>
      <c r="H9" s="36">
        <f>IF(AND(catpn_1_GTHB_1&gt;0,catpn_1_GTHV_42&gt;0),(catdw_1_GTHB_1*((dagenperjaar1-VLOOKUP(B9,dagsoorttabel1,2,FALSE))-catfd_1_GTHV_42)/catpn_1_GTHB_1+catdw_1_GTHV_42*catfd_1_GTHV_42/catpn_1_GTHV_42)/(((dagenperjaar1-VLOOKUP(B9,dagsoorttabel1,2,FALSE))-catfd_1_GTHV_42)/catpn_1_GTHB_1+catfd_1_GTHV_42/catpn_1_GTHV_42),0)</f>
        <v>0</v>
      </c>
      <c r="I9" s="20" t="s">
        <v>38</v>
      </c>
      <c r="J9" s="37">
        <f>IF(AND(catpn_1_GTHB_1&gt;0,catpn_1_GTHV_42&gt;0),(cattf_1_GTHB_1*((dagenperjaar1*VLOOKUP(B9,dagsoorttabel1,2,FALSE))-catfd_1_GTHV_42)/catpn_1_GTHB_1+cattf_1_GTHV_42*catfd_1_GTHV_42/catpn_1_GTHV_42)/(((dagenperjaar1*VLOOKUP(B9,dagsoorttabel1,2,FALSE))-catfd_1_GTHV_42)/catpn_1_GTHB_1+catfd_1_GTHV_42/catpn_1_GTHV_42),0)</f>
        <v>0</v>
      </c>
      <c r="K9" s="34">
        <f t="shared" si="1"/>
        <v>0</v>
      </c>
      <c r="L9" s="37">
        <f t="shared" si="2"/>
        <v>0</v>
      </c>
      <c r="M9" s="34">
        <f t="shared" si="3"/>
        <v>0</v>
      </c>
      <c r="N9" s="37">
        <f t="shared" si="4"/>
        <v>0</v>
      </c>
    </row>
    <row r="10" spans="1:14" x14ac:dyDescent="0.3">
      <c r="A10" s="20" t="s">
        <v>169</v>
      </c>
      <c r="B10" s="20" t="s">
        <v>16</v>
      </c>
      <c r="C10" s="20" t="s">
        <v>163</v>
      </c>
      <c r="D10" s="20" t="s">
        <v>170</v>
      </c>
      <c r="E10" s="34">
        <v>41</v>
      </c>
      <c r="F10" s="34">
        <f t="shared" si="0"/>
        <v>6.7529411764705882</v>
      </c>
      <c r="G10" s="35">
        <f>IF(AND(catpn_1_GTHB_1&gt;0,catpn_1_GTHV_42&gt;0),(dagenperjaar1*VLOOKUP(B10,dagsoorttabel1,2,FALSE))/(((dagenperjaar1*VLOOKUP(B10,dagsoorttabel1,2,FALSE))-catfd_1_GTHV_42)/catpn_1_GTHB_1+catfd_1_GTHV_42/catpn_1_GTHV_42),0)</f>
        <v>0</v>
      </c>
      <c r="H10" s="36">
        <f>IF(AND(catpn_1_GTHB_1&gt;0,catpn_1_GTHV_42&gt;0),(catdw_1_GTHB_1*((dagenperjaar1-VLOOKUP(B10,dagsoorttabel1,2,FALSE))-catfd_1_GTHV_42)/catpn_1_GTHB_1+catdw_1_GTHV_42*catfd_1_GTHV_42/catpn_1_GTHV_42)/(((dagenperjaar1-VLOOKUP(B10,dagsoorttabel1,2,FALSE))-catfd_1_GTHV_42)/catpn_1_GTHB_1+catfd_1_GTHV_42/catpn_1_GTHV_42),0)</f>
        <v>0</v>
      </c>
      <c r="I10" s="20" t="s">
        <v>38</v>
      </c>
      <c r="J10" s="37">
        <f>IF(AND(catpn_1_GTHB_1&gt;0,catpn_1_GTHV_42&gt;0),(cattf_1_GTHB_1*((dagenperjaar1*VLOOKUP(B10,dagsoorttabel1,2,FALSE))-catfd_1_GTHV_42)/catpn_1_GTHB_1+cattf_1_GTHV_42*catfd_1_GTHV_42/catpn_1_GTHV_42)/(((dagenperjaar1*VLOOKUP(B10,dagsoorttabel1,2,FALSE))-catfd_1_GTHV_42)/catpn_1_GTHB_1+catfd_1_GTHV_42/catpn_1_GTHV_42),0)</f>
        <v>0</v>
      </c>
      <c r="K10" s="34">
        <f t="shared" si="1"/>
        <v>0</v>
      </c>
      <c r="L10" s="37">
        <f t="shared" si="2"/>
        <v>0</v>
      </c>
      <c r="M10" s="34">
        <f t="shared" si="3"/>
        <v>0</v>
      </c>
      <c r="N10" s="37">
        <f t="shared" si="4"/>
        <v>0</v>
      </c>
    </row>
    <row r="11" spans="1:14" x14ac:dyDescent="0.3">
      <c r="A11" s="20" t="s">
        <v>171</v>
      </c>
      <c r="B11" s="20" t="s">
        <v>10</v>
      </c>
      <c r="C11" s="20" t="s">
        <v>163</v>
      </c>
      <c r="D11" s="20" t="s">
        <v>172</v>
      </c>
      <c r="E11" s="34">
        <v>732</v>
      </c>
      <c r="F11" s="34">
        <f t="shared" si="0"/>
        <v>602.82352941176464</v>
      </c>
      <c r="G11" s="35">
        <f>IF(AND(catpn_1_KAHB_1&gt;0,catpn_1_KAHV_42&gt;0),(dagenperjaar1*VLOOKUP(B11,dagsoorttabel1,2,FALSE))/(((dagenperjaar1*VLOOKUP(B11,dagsoorttabel1,2,FALSE))-catfd_1_KAHV_42)/catpn_1_KAHB_1+catfd_1_KAHV_42/catpn_1_KAHV_42),0)</f>
        <v>0</v>
      </c>
      <c r="H11" s="36">
        <f>IF(AND(catpn_1_KAHB_1&gt;0,catpn_1_KAHV_42&gt;0),(catdw_1_KAHB_1*((dagenperjaar1-VLOOKUP(B11,dagsoorttabel1,2,FALSE))-catfd_1_KAHV_42)/catpn_1_KAHB_1+catdw_1_KAHV_42*catfd_1_KAHV_42/catpn_1_KAHV_42)/(((dagenperjaar1-VLOOKUP(B11,dagsoorttabel1,2,FALSE))-catfd_1_KAHV_42)/catpn_1_KAHB_1+catfd_1_KAHV_42/catpn_1_KAHV_42),0)</f>
        <v>0</v>
      </c>
      <c r="I11" s="20" t="s">
        <v>38</v>
      </c>
      <c r="J11" s="37">
        <f>IF(AND(catpn_1_KAHB_1&gt;0,catpn_1_KAHV_42&gt;0),(cattf_1_KAHB_1*((dagenperjaar1*VLOOKUP(B11,dagsoorttabel1,2,FALSE))-catfd_1_KAHV_42)/catpn_1_KAHB_1+cattf_1_KAHV_42*catfd_1_KAHV_42/catpn_1_KAHV_42)/(((dagenperjaar1*VLOOKUP(B11,dagsoorttabel1,2,FALSE))-catfd_1_KAHV_42)/catpn_1_KAHB_1+catfd_1_KAHV_42/catpn_1_KAHV_42),0)</f>
        <v>0</v>
      </c>
      <c r="K11" s="34">
        <f t="shared" si="1"/>
        <v>0</v>
      </c>
      <c r="L11" s="37">
        <f t="shared" si="2"/>
        <v>0</v>
      </c>
      <c r="M11" s="34">
        <f t="shared" si="3"/>
        <v>0</v>
      </c>
      <c r="N11" s="37">
        <f t="shared" si="4"/>
        <v>0</v>
      </c>
    </row>
    <row r="12" spans="1:14" x14ac:dyDescent="0.3">
      <c r="A12" s="20" t="s">
        <v>173</v>
      </c>
      <c r="B12" s="20" t="s">
        <v>13</v>
      </c>
      <c r="C12" s="20" t="s">
        <v>163</v>
      </c>
      <c r="D12" s="20" t="s">
        <v>174</v>
      </c>
      <c r="E12" s="34">
        <v>29</v>
      </c>
      <c r="F12" s="34">
        <f t="shared" si="0"/>
        <v>11.941176470588236</v>
      </c>
      <c r="G12" s="35">
        <f>IF(AND(catpn_1_KDHB_1&gt;0,catpn_1_KDHV_42&gt;0),(dagenperjaar1*VLOOKUP(B12,dagsoorttabel1,2,FALSE))/(((dagenperjaar1*VLOOKUP(B12,dagsoorttabel1,2,FALSE))-catfd_1_KDHV_42)/catpn_1_KDHB_1+catfd_1_KDHV_42/catpn_1_KDHV_42),0)</f>
        <v>0</v>
      </c>
      <c r="H12" s="36">
        <f>IF(AND(catpn_1_KDHB_1&gt;0,catpn_1_KDHV_42&gt;0),(catdw_1_KDHB_1*((dagenperjaar1-VLOOKUP(B12,dagsoorttabel1,2,FALSE))-catfd_1_KDHV_42)/catpn_1_KDHB_1+catdw_1_KDHV_42*catfd_1_KDHV_42/catpn_1_KDHV_42)/(((dagenperjaar1-VLOOKUP(B12,dagsoorttabel1,2,FALSE))-catfd_1_KDHV_42)/catpn_1_KDHB_1+catfd_1_KDHV_42/catpn_1_KDHV_42),0)</f>
        <v>0</v>
      </c>
      <c r="I12" s="20" t="s">
        <v>38</v>
      </c>
      <c r="J12" s="37">
        <f>IF(AND(catpn_1_KDHB_1&gt;0,catpn_1_KDHV_42&gt;0),(cattf_1_KDHB_1*((dagenperjaar1*VLOOKUP(B12,dagsoorttabel1,2,FALSE))-catfd_1_KDHV_42)/catpn_1_KDHB_1+cattf_1_KDHV_42*catfd_1_KDHV_42/catpn_1_KDHV_42)/(((dagenperjaar1*VLOOKUP(B12,dagsoorttabel1,2,FALSE))-catfd_1_KDHV_42)/catpn_1_KDHB_1+catfd_1_KDHV_42/catpn_1_KDHV_42),0)</f>
        <v>0</v>
      </c>
      <c r="K12" s="34">
        <f t="shared" si="1"/>
        <v>0</v>
      </c>
      <c r="L12" s="37">
        <f t="shared" si="2"/>
        <v>0</v>
      </c>
      <c r="M12" s="34">
        <f t="shared" si="3"/>
        <v>0</v>
      </c>
      <c r="N12" s="37">
        <f t="shared" si="4"/>
        <v>0</v>
      </c>
    </row>
    <row r="13" spans="1:14" x14ac:dyDescent="0.3">
      <c r="A13" s="20" t="s">
        <v>175</v>
      </c>
      <c r="B13" s="20" t="s">
        <v>10</v>
      </c>
      <c r="C13" s="20" t="s">
        <v>163</v>
      </c>
      <c r="D13" s="20" t="s">
        <v>176</v>
      </c>
      <c r="E13" s="34">
        <v>115</v>
      </c>
      <c r="F13" s="34">
        <f t="shared" si="0"/>
        <v>94.705882352941174</v>
      </c>
      <c r="G13" s="35">
        <f>IF(AND(catpn_1_KDZB_1&gt;0,catpn_1_KDZV_42&gt;0),(dagenperjaar1*VLOOKUP(B13,dagsoorttabel1,2,FALSE))/(((dagenperjaar1*VLOOKUP(B13,dagsoorttabel1,2,FALSE))-catfd_1_KDZV_42)/catpn_1_KDZB_1+catfd_1_KDZV_42/catpn_1_KDZV_42),0)</f>
        <v>0</v>
      </c>
      <c r="H13" s="36">
        <f>IF(AND(catpn_1_KDZB_1&gt;0,catpn_1_KDZV_42&gt;0),(catdw_1_KDZB_1*((dagenperjaar1-VLOOKUP(B13,dagsoorttabel1,2,FALSE))-catfd_1_KDZV_42)/catpn_1_KDZB_1+catdw_1_KDZV_42*catfd_1_KDZV_42/catpn_1_KDZV_42)/(((dagenperjaar1-VLOOKUP(B13,dagsoorttabel1,2,FALSE))-catfd_1_KDZV_42)/catpn_1_KDZB_1+catfd_1_KDZV_42/catpn_1_KDZV_42),0)</f>
        <v>0</v>
      </c>
      <c r="I13" s="20" t="s">
        <v>38</v>
      </c>
      <c r="J13" s="37">
        <f>IF(AND(catpn_1_KDZB_1&gt;0,catpn_1_KDZV_42&gt;0),(cattf_1_KDZB_1*((dagenperjaar1*VLOOKUP(B13,dagsoorttabel1,2,FALSE))-catfd_1_KDZV_42)/catpn_1_KDZB_1+cattf_1_KDZV_42*catfd_1_KDZV_42/catpn_1_KDZV_42)/(((dagenperjaar1*VLOOKUP(B13,dagsoorttabel1,2,FALSE))-catfd_1_KDZV_42)/catpn_1_KDZB_1+catfd_1_KDZV_42/catpn_1_KDZV_42),0)</f>
        <v>0</v>
      </c>
      <c r="K13" s="34">
        <f t="shared" si="1"/>
        <v>0</v>
      </c>
      <c r="L13" s="37">
        <f t="shared" si="2"/>
        <v>0</v>
      </c>
      <c r="M13" s="34">
        <f t="shared" si="3"/>
        <v>0</v>
      </c>
      <c r="N13" s="37">
        <f t="shared" si="4"/>
        <v>0</v>
      </c>
    </row>
    <row r="14" spans="1:14" x14ac:dyDescent="0.3">
      <c r="A14" s="20" t="s">
        <v>177</v>
      </c>
      <c r="B14" s="20" t="s">
        <v>10</v>
      </c>
      <c r="C14" s="20" t="s">
        <v>163</v>
      </c>
      <c r="D14" s="20" t="s">
        <v>178</v>
      </c>
      <c r="E14" s="34">
        <v>59</v>
      </c>
      <c r="F14" s="34">
        <f t="shared" si="0"/>
        <v>48.588235294117645</v>
      </c>
      <c r="G14" s="35">
        <f>IF(AND(catpn_1_KKHB_1&gt;0,catpn_1_KKHV_42&gt;0),(dagenperjaar1*VLOOKUP(B14,dagsoorttabel1,2,FALSE))/(((dagenperjaar1*VLOOKUP(B14,dagsoorttabel1,2,FALSE))-catfd_1_KKHV_42)/catpn_1_KKHB_1+catfd_1_KKHV_42/catpn_1_KKHV_42),0)</f>
        <v>0</v>
      </c>
      <c r="H14" s="36">
        <f>IF(AND(catpn_1_KKHB_1&gt;0,catpn_1_KKHV_42&gt;0),(catdw_1_KKHB_1*((dagenperjaar1-VLOOKUP(B14,dagsoorttabel1,2,FALSE))-catfd_1_KKHV_42)/catpn_1_KKHB_1+catdw_1_KKHV_42*catfd_1_KKHV_42/catpn_1_KKHV_42)/(((dagenperjaar1-VLOOKUP(B14,dagsoorttabel1,2,FALSE))-catfd_1_KKHV_42)/catpn_1_KKHB_1+catfd_1_KKHV_42/catpn_1_KKHV_42),0)</f>
        <v>0</v>
      </c>
      <c r="I14" s="20" t="s">
        <v>38</v>
      </c>
      <c r="J14" s="37">
        <f>IF(AND(catpn_1_KKHB_1&gt;0,catpn_1_KKHV_42&gt;0),(cattf_1_KKHB_1*((dagenperjaar1*VLOOKUP(B14,dagsoorttabel1,2,FALSE))-catfd_1_KKHV_42)/catpn_1_KKHB_1+cattf_1_KKHV_42*catfd_1_KKHV_42/catpn_1_KKHV_42)/(((dagenperjaar1*VLOOKUP(B14,dagsoorttabel1,2,FALSE))-catfd_1_KKHV_42)/catpn_1_KKHB_1+catfd_1_KKHV_42/catpn_1_KKHV_42),0)</f>
        <v>0</v>
      </c>
      <c r="K14" s="34">
        <f t="shared" si="1"/>
        <v>0</v>
      </c>
      <c r="L14" s="37">
        <f t="shared" si="2"/>
        <v>0</v>
      </c>
      <c r="M14" s="34">
        <f t="shared" si="3"/>
        <v>0</v>
      </c>
      <c r="N14" s="37">
        <f t="shared" si="4"/>
        <v>0</v>
      </c>
    </row>
    <row r="15" spans="1:14" x14ac:dyDescent="0.3">
      <c r="A15" s="20" t="s">
        <v>179</v>
      </c>
      <c r="B15" s="20" t="s">
        <v>13</v>
      </c>
      <c r="C15" s="20" t="s">
        <v>163</v>
      </c>
      <c r="D15" s="20" t="s">
        <v>180</v>
      </c>
      <c r="E15" s="34">
        <v>3789</v>
      </c>
      <c r="F15" s="34">
        <f t="shared" si="0"/>
        <v>1560.1764705882351</v>
      </c>
      <c r="G15" s="35">
        <f>IF(AND(catpn_1_LLHB_1&gt;0,catpn_1_LLHV_42&gt;0),(dagenperjaar1*VLOOKUP(B15,dagsoorttabel1,2,FALSE))/(((dagenperjaar1*VLOOKUP(B15,dagsoorttabel1,2,FALSE))-catfd_1_LLHV_42)/catpn_1_LLHB_1+catfd_1_LLHV_42/catpn_1_LLHV_42),0)</f>
        <v>0</v>
      </c>
      <c r="H15" s="36">
        <f>IF(AND(catpn_1_LLHB_1&gt;0,catpn_1_LLHV_42&gt;0),(catdw_1_LLHB_1*((dagenperjaar1-VLOOKUP(B15,dagsoorttabel1,2,FALSE))-catfd_1_LLHV_42)/catpn_1_LLHB_1+catdw_1_LLHV_42*catfd_1_LLHV_42/catpn_1_LLHV_42)/(((dagenperjaar1-VLOOKUP(B15,dagsoorttabel1,2,FALSE))-catfd_1_LLHV_42)/catpn_1_LLHB_1+catfd_1_LLHV_42/catpn_1_LLHV_42),0)</f>
        <v>0</v>
      </c>
      <c r="I15" s="20" t="s">
        <v>38</v>
      </c>
      <c r="J15" s="37">
        <f>IF(AND(catpn_1_LLHB_1&gt;0,catpn_1_LLHV_42&gt;0),(cattf_1_LLHB_1*((dagenperjaar1*VLOOKUP(B15,dagsoorttabel1,2,FALSE))-catfd_1_LLHV_42)/catpn_1_LLHB_1+cattf_1_LLHV_42*catfd_1_LLHV_42/catpn_1_LLHV_42)/(((dagenperjaar1*VLOOKUP(B15,dagsoorttabel1,2,FALSE))-catfd_1_LLHV_42)/catpn_1_LLHB_1+catfd_1_LLHV_42/catpn_1_LLHV_42),0)</f>
        <v>0</v>
      </c>
      <c r="K15" s="34">
        <f t="shared" si="1"/>
        <v>0</v>
      </c>
      <c r="L15" s="37">
        <f t="shared" si="2"/>
        <v>0</v>
      </c>
      <c r="M15" s="34">
        <f t="shared" si="3"/>
        <v>0</v>
      </c>
      <c r="N15" s="37">
        <f t="shared" si="4"/>
        <v>0</v>
      </c>
    </row>
    <row r="16" spans="1:14" x14ac:dyDescent="0.3">
      <c r="A16" s="20" t="s">
        <v>179</v>
      </c>
      <c r="B16" s="20" t="s">
        <v>10</v>
      </c>
      <c r="C16" s="20" t="s">
        <v>163</v>
      </c>
      <c r="D16" s="20" t="s">
        <v>180</v>
      </c>
      <c r="E16" s="34">
        <v>63</v>
      </c>
      <c r="F16" s="34">
        <f t="shared" si="0"/>
        <v>51.882352941176471</v>
      </c>
      <c r="G16" s="35">
        <f>IF(AND(catpn_1_LLHB_1&gt;0,catpn_1_LLHV_42&gt;0),(dagenperjaar1*VLOOKUP(B16,dagsoorttabel1,2,FALSE))/(((dagenperjaar1*VLOOKUP(B16,dagsoorttabel1,2,FALSE))-catfd_1_LLHV_42)/catpn_1_LLHB_1+catfd_1_LLHV_42/catpn_1_LLHV_42),0)</f>
        <v>0</v>
      </c>
      <c r="H16" s="36">
        <f>IF(AND(catpn_1_LLHB_1&gt;0,catpn_1_LLHV_42&gt;0),(catdw_1_LLHB_1*((dagenperjaar1-VLOOKUP(B16,dagsoorttabel1,2,FALSE))-catfd_1_LLHV_42)/catpn_1_LLHB_1+catdw_1_LLHV_42*catfd_1_LLHV_42/catpn_1_LLHV_42)/(((dagenperjaar1-VLOOKUP(B16,dagsoorttabel1,2,FALSE))-catfd_1_LLHV_42)/catpn_1_LLHB_1+catfd_1_LLHV_42/catpn_1_LLHV_42),0)</f>
        <v>0</v>
      </c>
      <c r="I16" s="20" t="s">
        <v>38</v>
      </c>
      <c r="J16" s="37">
        <f>IF(AND(catpn_1_LLHB_1&gt;0,catpn_1_LLHV_42&gt;0),(cattf_1_LLHB_1*((dagenperjaar1*VLOOKUP(B16,dagsoorttabel1,2,FALSE))-catfd_1_LLHV_42)/catpn_1_LLHB_1+cattf_1_LLHV_42*catfd_1_LLHV_42/catpn_1_LLHV_42)/(((dagenperjaar1*VLOOKUP(B16,dagsoorttabel1,2,FALSE))-catfd_1_LLHV_42)/catpn_1_LLHB_1+catfd_1_LLHV_42/catpn_1_LLHV_42),0)</f>
        <v>0</v>
      </c>
      <c r="K16" s="34">
        <f t="shared" si="1"/>
        <v>0</v>
      </c>
      <c r="L16" s="37">
        <f t="shared" si="2"/>
        <v>0</v>
      </c>
      <c r="M16" s="34">
        <f t="shared" si="3"/>
        <v>0</v>
      </c>
      <c r="N16" s="37">
        <f t="shared" si="4"/>
        <v>0</v>
      </c>
    </row>
    <row r="17" spans="1:14" x14ac:dyDescent="0.3">
      <c r="A17" s="20" t="s">
        <v>181</v>
      </c>
      <c r="B17" s="20" t="s">
        <v>13</v>
      </c>
      <c r="C17" s="20" t="s">
        <v>163</v>
      </c>
      <c r="D17" s="20" t="s">
        <v>182</v>
      </c>
      <c r="E17" s="34">
        <v>309</v>
      </c>
      <c r="F17" s="34">
        <f t="shared" si="0"/>
        <v>127.23529411764706</v>
      </c>
      <c r="G17" s="35">
        <f>IF(AND(catpn_1_LLZB_1&gt;0,catpn_1_LLZV_42&gt;0),(dagenperjaar1*VLOOKUP(B17,dagsoorttabel1,2,FALSE))/(((dagenperjaar1*VLOOKUP(B17,dagsoorttabel1,2,FALSE))-catfd_1_LLZV_42)/catpn_1_LLZB_1+catfd_1_LLZV_42/catpn_1_LLZV_42),0)</f>
        <v>0</v>
      </c>
      <c r="H17" s="36">
        <f>IF(AND(catpn_1_LLZB_1&gt;0,catpn_1_LLZV_42&gt;0),(catdw_1_LLZB_1*((dagenperjaar1-VLOOKUP(B17,dagsoorttabel1,2,FALSE))-catfd_1_LLZV_42)/catpn_1_LLZB_1+catdw_1_LLZV_42*catfd_1_LLZV_42/catpn_1_LLZV_42)/(((dagenperjaar1-VLOOKUP(B17,dagsoorttabel1,2,FALSE))-catfd_1_LLZV_42)/catpn_1_LLZB_1+catfd_1_LLZV_42/catpn_1_LLZV_42),0)</f>
        <v>0</v>
      </c>
      <c r="I17" s="20" t="s">
        <v>38</v>
      </c>
      <c r="J17" s="37">
        <f>IF(AND(catpn_1_LLZB_1&gt;0,catpn_1_LLZV_42&gt;0),(cattf_1_LLZB_1*((dagenperjaar1*VLOOKUP(B17,dagsoorttabel1,2,FALSE))-catfd_1_LLZV_42)/catpn_1_LLZB_1+cattf_1_LLZV_42*catfd_1_LLZV_42/catpn_1_LLZV_42)/(((dagenperjaar1*VLOOKUP(B17,dagsoorttabel1,2,FALSE))-catfd_1_LLZV_42)/catpn_1_LLZB_1+catfd_1_LLZV_42/catpn_1_LLZV_42),0)</f>
        <v>0</v>
      </c>
      <c r="K17" s="34">
        <f t="shared" si="1"/>
        <v>0</v>
      </c>
      <c r="L17" s="37">
        <f t="shared" si="2"/>
        <v>0</v>
      </c>
      <c r="M17" s="34">
        <f t="shared" si="3"/>
        <v>0</v>
      </c>
      <c r="N17" s="37">
        <f t="shared" si="4"/>
        <v>0</v>
      </c>
    </row>
    <row r="18" spans="1:14" x14ac:dyDescent="0.3">
      <c r="A18" s="20" t="s">
        <v>183</v>
      </c>
      <c r="B18" s="20" t="s">
        <v>10</v>
      </c>
      <c r="C18" s="20" t="s">
        <v>163</v>
      </c>
      <c r="D18" s="20" t="s">
        <v>184</v>
      </c>
      <c r="E18" s="34">
        <v>411</v>
      </c>
      <c r="F18" s="34">
        <f t="shared" si="0"/>
        <v>338.47058823529409</v>
      </c>
      <c r="G18" s="35">
        <f>IF(AND(catpn_1_LOHB_1&gt;0,catpn_1_LOHV_42&gt;0),(dagenperjaar1*VLOOKUP(B18,dagsoorttabel1,2,FALSE))/(((dagenperjaar1*VLOOKUP(B18,dagsoorttabel1,2,FALSE))-catfd_1_LOHV_42)/catpn_1_LOHB_1+catfd_1_LOHV_42/catpn_1_LOHV_42),0)</f>
        <v>0</v>
      </c>
      <c r="H18" s="36">
        <f>IF(AND(catpn_1_LOHB_1&gt;0,catpn_1_LOHV_42&gt;0),(catdw_1_LOHB_1*((dagenperjaar1-VLOOKUP(B18,dagsoorttabel1,2,FALSE))-catfd_1_LOHV_42)/catpn_1_LOHB_1+catdw_1_LOHV_42*catfd_1_LOHV_42/catpn_1_LOHV_42)/(((dagenperjaar1-VLOOKUP(B18,dagsoorttabel1,2,FALSE))-catfd_1_LOHV_42)/catpn_1_LOHB_1+catfd_1_LOHV_42/catpn_1_LOHV_42),0)</f>
        <v>0</v>
      </c>
      <c r="I18" s="20" t="s">
        <v>38</v>
      </c>
      <c r="J18" s="37">
        <f>IF(AND(catpn_1_LOHB_1&gt;0,catpn_1_LOHV_42&gt;0),(cattf_1_LOHB_1*((dagenperjaar1*VLOOKUP(B18,dagsoorttabel1,2,FALSE))-catfd_1_LOHV_42)/catpn_1_LOHB_1+cattf_1_LOHV_42*catfd_1_LOHV_42/catpn_1_LOHV_42)/(((dagenperjaar1*VLOOKUP(B18,dagsoorttabel1,2,FALSE))-catfd_1_LOHV_42)/catpn_1_LOHB_1+catfd_1_LOHV_42/catpn_1_LOHV_42),0)</f>
        <v>0</v>
      </c>
      <c r="K18" s="34">
        <f t="shared" si="1"/>
        <v>0</v>
      </c>
      <c r="L18" s="37">
        <f t="shared" si="2"/>
        <v>0</v>
      </c>
      <c r="M18" s="34">
        <f t="shared" si="3"/>
        <v>0</v>
      </c>
      <c r="N18" s="37">
        <f t="shared" si="4"/>
        <v>0</v>
      </c>
    </row>
    <row r="19" spans="1:14" x14ac:dyDescent="0.3">
      <c r="A19" s="20" t="s">
        <v>185</v>
      </c>
      <c r="B19" s="20" t="s">
        <v>13</v>
      </c>
      <c r="C19" s="20" t="s">
        <v>163</v>
      </c>
      <c r="D19" s="20" t="s">
        <v>186</v>
      </c>
      <c r="E19" s="34">
        <v>237</v>
      </c>
      <c r="F19" s="34">
        <f t="shared" si="0"/>
        <v>97.588235294117638</v>
      </c>
      <c r="G19" s="35">
        <f>IF(AND(catpn_1_MAHB_1&gt;0,catpn_1_MAHV_42&gt;0),(dagenperjaar1*VLOOKUP(B19,dagsoorttabel1,2,FALSE))/(((dagenperjaar1*VLOOKUP(B19,dagsoorttabel1,2,FALSE))-catfd_1_MAHV_42)/catpn_1_MAHB_1+catfd_1_MAHV_42/catpn_1_MAHV_42),0)</f>
        <v>0</v>
      </c>
      <c r="H19" s="36">
        <f>IF(AND(catpn_1_MAHB_1&gt;0,catpn_1_MAHV_42&gt;0),(catdw_1_MAHB_1*((dagenperjaar1-VLOOKUP(B19,dagsoorttabel1,2,FALSE))-catfd_1_MAHV_42)/catpn_1_MAHB_1+catdw_1_MAHV_42*catfd_1_MAHV_42/catpn_1_MAHV_42)/(((dagenperjaar1-VLOOKUP(B19,dagsoorttabel1,2,FALSE))-catfd_1_MAHV_42)/catpn_1_MAHB_1+catfd_1_MAHV_42/catpn_1_MAHV_42),0)</f>
        <v>0</v>
      </c>
      <c r="I19" s="20" t="s">
        <v>38</v>
      </c>
      <c r="J19" s="37">
        <f>IF(AND(catpn_1_MAHB_1&gt;0,catpn_1_MAHV_42&gt;0),(cattf_1_MAHB_1*((dagenperjaar1*VLOOKUP(B19,dagsoorttabel1,2,FALSE))-catfd_1_MAHV_42)/catpn_1_MAHB_1+cattf_1_MAHV_42*catfd_1_MAHV_42/catpn_1_MAHV_42)/(((dagenperjaar1*VLOOKUP(B19,dagsoorttabel1,2,FALSE))-catfd_1_MAHV_42)/catpn_1_MAHB_1+catfd_1_MAHV_42/catpn_1_MAHV_42),0)</f>
        <v>0</v>
      </c>
      <c r="K19" s="34">
        <f t="shared" si="1"/>
        <v>0</v>
      </c>
      <c r="L19" s="37">
        <f t="shared" si="2"/>
        <v>0</v>
      </c>
      <c r="M19" s="34">
        <f t="shared" si="3"/>
        <v>0</v>
      </c>
      <c r="N19" s="37">
        <f t="shared" si="4"/>
        <v>0</v>
      </c>
    </row>
    <row r="20" spans="1:14" x14ac:dyDescent="0.3">
      <c r="A20" s="20" t="s">
        <v>187</v>
      </c>
      <c r="B20" s="20" t="s">
        <v>10</v>
      </c>
      <c r="C20" s="20" t="s">
        <v>163</v>
      </c>
      <c r="D20" s="20" t="s">
        <v>188</v>
      </c>
      <c r="E20" s="34">
        <v>4</v>
      </c>
      <c r="F20" s="34">
        <f t="shared" si="0"/>
        <v>3.2941176470588234</v>
      </c>
      <c r="G20" s="35">
        <f>IF(AND(catpn_1_OAHB_1&gt;0,catpn_1_OAHV_42&gt;0),(dagenperjaar1*VLOOKUP(B20,dagsoorttabel1,2,FALSE))/(((dagenperjaar1*VLOOKUP(B20,dagsoorttabel1,2,FALSE))-catfd_1_OAHV_42)/catpn_1_OAHB_1+catfd_1_OAHV_42/catpn_1_OAHV_42),0)</f>
        <v>0</v>
      </c>
      <c r="H20" s="36">
        <f>IF(AND(catpn_1_OAHB_1&gt;0,catpn_1_OAHV_42&gt;0),(catdw_1_OAHB_1*((dagenperjaar1-VLOOKUP(B20,dagsoorttabel1,2,FALSE))-catfd_1_OAHV_42)/catpn_1_OAHB_1+catdw_1_OAHV_42*catfd_1_OAHV_42/catpn_1_OAHV_42)/(((dagenperjaar1-VLOOKUP(B20,dagsoorttabel1,2,FALSE))-catfd_1_OAHV_42)/catpn_1_OAHB_1+catfd_1_OAHV_42/catpn_1_OAHV_42),0)</f>
        <v>0</v>
      </c>
      <c r="I20" s="20" t="s">
        <v>38</v>
      </c>
      <c r="J20" s="37">
        <f>IF(AND(catpn_1_OAHB_1&gt;0,catpn_1_OAHV_42&gt;0),(cattf_1_OAHB_1*((dagenperjaar1*VLOOKUP(B20,dagsoorttabel1,2,FALSE))-catfd_1_OAHV_42)/catpn_1_OAHB_1+cattf_1_OAHV_42*catfd_1_OAHV_42/catpn_1_OAHV_42)/(((dagenperjaar1*VLOOKUP(B20,dagsoorttabel1,2,FALSE))-catfd_1_OAHV_42)/catpn_1_OAHB_1+catfd_1_OAHV_42/catpn_1_OAHV_42),0)</f>
        <v>0</v>
      </c>
      <c r="K20" s="34">
        <f t="shared" si="1"/>
        <v>0</v>
      </c>
      <c r="L20" s="37">
        <f t="shared" si="2"/>
        <v>0</v>
      </c>
      <c r="M20" s="34">
        <f t="shared" si="3"/>
        <v>0</v>
      </c>
      <c r="N20" s="37">
        <f t="shared" si="4"/>
        <v>0</v>
      </c>
    </row>
    <row r="21" spans="1:14" x14ac:dyDescent="0.3">
      <c r="A21" s="20" t="s">
        <v>189</v>
      </c>
      <c r="B21" s="20" t="s">
        <v>10</v>
      </c>
      <c r="C21" s="20" t="s">
        <v>163</v>
      </c>
      <c r="D21" s="20" t="s">
        <v>190</v>
      </c>
      <c r="E21" s="34">
        <v>397</v>
      </c>
      <c r="F21" s="34">
        <f t="shared" si="0"/>
        <v>326.94117647058823</v>
      </c>
      <c r="G21" s="35">
        <f>IF(AND(catpn_1_PAHB_1&gt;0,catpn_1_PAHV_42&gt;0),(dagenperjaar1*VLOOKUP(B21,dagsoorttabel1,2,FALSE))/(((dagenperjaar1*VLOOKUP(B21,dagsoorttabel1,2,FALSE))-catfd_1_PAHV_42)/catpn_1_PAHB_1+catfd_1_PAHV_42/catpn_1_PAHV_42),0)</f>
        <v>0</v>
      </c>
      <c r="H21" s="36">
        <f>IF(AND(catpn_1_PAHB_1&gt;0,catpn_1_PAHV_42&gt;0),(catdw_1_PAHB_1*((dagenperjaar1-VLOOKUP(B21,dagsoorttabel1,2,FALSE))-catfd_1_PAHV_42)/catpn_1_PAHB_1+catdw_1_PAHV_42*catfd_1_PAHV_42/catpn_1_PAHV_42)/(((dagenperjaar1-VLOOKUP(B21,dagsoorttabel1,2,FALSE))-catfd_1_PAHV_42)/catpn_1_PAHB_1+catfd_1_PAHV_42/catpn_1_PAHV_42),0)</f>
        <v>0</v>
      </c>
      <c r="I21" s="20" t="s">
        <v>38</v>
      </c>
      <c r="J21" s="37">
        <f>IF(AND(catpn_1_PAHB_1&gt;0,catpn_1_PAHV_42&gt;0),(cattf_1_PAHB_1*((dagenperjaar1*VLOOKUP(B21,dagsoorttabel1,2,FALSE))-catfd_1_PAHV_42)/catpn_1_PAHB_1+cattf_1_PAHV_42*catfd_1_PAHV_42/catpn_1_PAHV_42)/(((dagenperjaar1*VLOOKUP(B21,dagsoorttabel1,2,FALSE))-catfd_1_PAHV_42)/catpn_1_PAHB_1+catfd_1_PAHV_42/catpn_1_PAHV_42),0)</f>
        <v>0</v>
      </c>
      <c r="K21" s="34">
        <f t="shared" si="1"/>
        <v>0</v>
      </c>
      <c r="L21" s="37">
        <f t="shared" si="2"/>
        <v>0</v>
      </c>
      <c r="M21" s="34">
        <f t="shared" si="3"/>
        <v>0</v>
      </c>
      <c r="N21" s="37">
        <f t="shared" si="4"/>
        <v>0</v>
      </c>
    </row>
    <row r="22" spans="1:14" x14ac:dyDescent="0.3">
      <c r="A22" s="20" t="s">
        <v>191</v>
      </c>
      <c r="B22" s="20" t="s">
        <v>10</v>
      </c>
      <c r="C22" s="20" t="s">
        <v>163</v>
      </c>
      <c r="D22" s="20" t="s">
        <v>192</v>
      </c>
      <c r="E22" s="34">
        <v>112</v>
      </c>
      <c r="F22" s="34">
        <f t="shared" si="0"/>
        <v>92.235294117647058</v>
      </c>
      <c r="G22" s="35">
        <f>IF(AND(catpn_1_PKHB_1&gt;0,catpn_1_PKHV_42&gt;0),(dagenperjaar1*VLOOKUP(B22,dagsoorttabel1,2,FALSE))/(((dagenperjaar1*VLOOKUP(B22,dagsoorttabel1,2,FALSE))-catfd_1_PKHV_42)/catpn_1_PKHB_1+catfd_1_PKHV_42/catpn_1_PKHV_42),0)</f>
        <v>0</v>
      </c>
      <c r="H22" s="36">
        <f>IF(AND(catpn_1_PKHB_1&gt;0,catpn_1_PKHV_42&gt;0),(catdw_1_PKHB_1*((dagenperjaar1-VLOOKUP(B22,dagsoorttabel1,2,FALSE))-catfd_1_PKHV_42)/catpn_1_PKHB_1+catdw_1_PKHV_42*catfd_1_PKHV_42/catpn_1_PKHV_42)/(((dagenperjaar1-VLOOKUP(B22,dagsoorttabel1,2,FALSE))-catfd_1_PKHV_42)/catpn_1_PKHB_1+catfd_1_PKHV_42/catpn_1_PKHV_42),0)</f>
        <v>0</v>
      </c>
      <c r="I22" s="20" t="s">
        <v>38</v>
      </c>
      <c r="J22" s="37">
        <f>IF(AND(catpn_1_PKHB_1&gt;0,catpn_1_PKHV_42&gt;0),(cattf_1_PKHB_1*((dagenperjaar1*VLOOKUP(B22,dagsoorttabel1,2,FALSE))-catfd_1_PKHV_42)/catpn_1_PKHB_1+cattf_1_PKHV_42*catfd_1_PKHV_42/catpn_1_PKHV_42)/(((dagenperjaar1*VLOOKUP(B22,dagsoorttabel1,2,FALSE))-catfd_1_PKHV_42)/catpn_1_PKHB_1+catfd_1_PKHV_42/catpn_1_PKHV_42),0)</f>
        <v>0</v>
      </c>
      <c r="K22" s="34">
        <f t="shared" si="1"/>
        <v>0</v>
      </c>
      <c r="L22" s="37">
        <f t="shared" si="2"/>
        <v>0</v>
      </c>
      <c r="M22" s="34">
        <f t="shared" si="3"/>
        <v>0</v>
      </c>
      <c r="N22" s="37">
        <f t="shared" si="4"/>
        <v>0</v>
      </c>
    </row>
    <row r="23" spans="1:14" x14ac:dyDescent="0.3">
      <c r="A23" s="20" t="s">
        <v>193</v>
      </c>
      <c r="B23" s="20" t="s">
        <v>13</v>
      </c>
      <c r="C23" s="20" t="s">
        <v>163</v>
      </c>
      <c r="D23" s="20" t="s">
        <v>194</v>
      </c>
      <c r="E23" s="34">
        <v>71</v>
      </c>
      <c r="F23" s="34">
        <f t="shared" si="0"/>
        <v>29.235294117647058</v>
      </c>
      <c r="G23" s="35">
        <f>IF(AND(catpn_1_PLHB_1&gt;0,catpn_1_PLHV_42&gt;0),(dagenperjaar1*VLOOKUP(B23,dagsoorttabel1,2,FALSE))/(((dagenperjaar1*VLOOKUP(B23,dagsoorttabel1,2,FALSE))-catfd_1_PLHV_42)/catpn_1_PLHB_1+catfd_1_PLHV_42/catpn_1_PLHV_42),0)</f>
        <v>0</v>
      </c>
      <c r="H23" s="36">
        <f>IF(AND(catpn_1_PLHB_1&gt;0,catpn_1_PLHV_42&gt;0),(catdw_1_PLHB_1*((dagenperjaar1-VLOOKUP(B23,dagsoorttabel1,2,FALSE))-catfd_1_PLHV_42)/catpn_1_PLHB_1+catdw_1_PLHV_42*catfd_1_PLHV_42/catpn_1_PLHV_42)/(((dagenperjaar1-VLOOKUP(B23,dagsoorttabel1,2,FALSE))-catfd_1_PLHV_42)/catpn_1_PLHB_1+catfd_1_PLHV_42/catpn_1_PLHV_42),0)</f>
        <v>0</v>
      </c>
      <c r="I23" s="20" t="s">
        <v>38</v>
      </c>
      <c r="J23" s="37">
        <f>IF(AND(catpn_1_PLHB_1&gt;0,catpn_1_PLHV_42&gt;0),(cattf_1_PLHB_1*((dagenperjaar1*VLOOKUP(B23,dagsoorttabel1,2,FALSE))-catfd_1_PLHV_42)/catpn_1_PLHB_1+cattf_1_PLHV_42*catfd_1_PLHV_42/catpn_1_PLHV_42)/(((dagenperjaar1*VLOOKUP(B23,dagsoorttabel1,2,FALSE))-catfd_1_PLHV_42)/catpn_1_PLHB_1+catfd_1_PLHV_42/catpn_1_PLHV_42),0)</f>
        <v>0</v>
      </c>
      <c r="K23" s="34">
        <f t="shared" si="1"/>
        <v>0</v>
      </c>
      <c r="L23" s="37">
        <f t="shared" si="2"/>
        <v>0</v>
      </c>
      <c r="M23" s="34">
        <f t="shared" si="3"/>
        <v>0</v>
      </c>
      <c r="N23" s="37">
        <f t="shared" si="4"/>
        <v>0</v>
      </c>
    </row>
    <row r="24" spans="1:14" x14ac:dyDescent="0.3">
      <c r="A24" s="20" t="s">
        <v>193</v>
      </c>
      <c r="B24" s="20" t="s">
        <v>10</v>
      </c>
      <c r="C24" s="20" t="s">
        <v>163</v>
      </c>
      <c r="D24" s="20" t="s">
        <v>194</v>
      </c>
      <c r="E24" s="34">
        <v>833</v>
      </c>
      <c r="F24" s="34">
        <f t="shared" si="0"/>
        <v>686</v>
      </c>
      <c r="G24" s="35">
        <f>IF(AND(catpn_1_PLHB_1&gt;0,catpn_1_PLHV_42&gt;0),(dagenperjaar1*VLOOKUP(B24,dagsoorttabel1,2,FALSE))/(((dagenperjaar1*VLOOKUP(B24,dagsoorttabel1,2,FALSE))-catfd_1_PLHV_42)/catpn_1_PLHB_1+catfd_1_PLHV_42/catpn_1_PLHV_42),0)</f>
        <v>0</v>
      </c>
      <c r="H24" s="36">
        <f>IF(AND(catpn_1_PLHB_1&gt;0,catpn_1_PLHV_42&gt;0),(catdw_1_PLHB_1*((dagenperjaar1-VLOOKUP(B24,dagsoorttabel1,2,FALSE))-catfd_1_PLHV_42)/catpn_1_PLHB_1+catdw_1_PLHV_42*catfd_1_PLHV_42/catpn_1_PLHV_42)/(((dagenperjaar1-VLOOKUP(B24,dagsoorttabel1,2,FALSE))-catfd_1_PLHV_42)/catpn_1_PLHB_1+catfd_1_PLHV_42/catpn_1_PLHV_42),0)</f>
        <v>0</v>
      </c>
      <c r="I24" s="20" t="s">
        <v>38</v>
      </c>
      <c r="J24" s="37">
        <f>IF(AND(catpn_1_PLHB_1&gt;0,catpn_1_PLHV_42&gt;0),(cattf_1_PLHB_1*((dagenperjaar1*VLOOKUP(B24,dagsoorttabel1,2,FALSE))-catfd_1_PLHV_42)/catpn_1_PLHB_1+cattf_1_PLHV_42*catfd_1_PLHV_42/catpn_1_PLHV_42)/(((dagenperjaar1*VLOOKUP(B24,dagsoorttabel1,2,FALSE))-catfd_1_PLHV_42)/catpn_1_PLHB_1+catfd_1_PLHV_42/catpn_1_PLHV_42),0)</f>
        <v>0</v>
      </c>
      <c r="K24" s="34">
        <f t="shared" si="1"/>
        <v>0</v>
      </c>
      <c r="L24" s="37">
        <f t="shared" si="2"/>
        <v>0</v>
      </c>
      <c r="M24" s="34">
        <f t="shared" si="3"/>
        <v>0</v>
      </c>
      <c r="N24" s="37">
        <f t="shared" si="4"/>
        <v>0</v>
      </c>
    </row>
    <row r="25" spans="1:14" x14ac:dyDescent="0.3">
      <c r="A25" s="20" t="s">
        <v>195</v>
      </c>
      <c r="B25" s="20" t="s">
        <v>13</v>
      </c>
      <c r="C25" s="20" t="s">
        <v>163</v>
      </c>
      <c r="D25" s="20" t="s">
        <v>196</v>
      </c>
      <c r="E25" s="34">
        <v>504</v>
      </c>
      <c r="F25" s="34">
        <f t="shared" si="0"/>
        <v>207.52941176470588</v>
      </c>
      <c r="G25" s="35">
        <f>IF(AND(catpn_1_PSHB_1&gt;0,catpn_1_PSHV_42&gt;0),(dagenperjaar1*VLOOKUP(B25,dagsoorttabel1,2,FALSE))/(((dagenperjaar1*VLOOKUP(B25,dagsoorttabel1,2,FALSE))-catfd_1_PSHV_42)/catpn_1_PSHB_1+catfd_1_PSHV_42/catpn_1_PSHV_42),0)</f>
        <v>0</v>
      </c>
      <c r="H25" s="36">
        <f>IF(AND(catpn_1_PSHB_1&gt;0,catpn_1_PSHV_42&gt;0),(catdw_1_PSHB_1*((dagenperjaar1-VLOOKUP(B25,dagsoorttabel1,2,FALSE))-catfd_1_PSHV_42)/catpn_1_PSHB_1+catdw_1_PSHV_42*catfd_1_PSHV_42/catpn_1_PSHV_42)/(((dagenperjaar1-VLOOKUP(B25,dagsoorttabel1,2,FALSE))-catfd_1_PSHV_42)/catpn_1_PSHB_1+catfd_1_PSHV_42/catpn_1_PSHV_42),0)</f>
        <v>0</v>
      </c>
      <c r="I25" s="20" t="s">
        <v>38</v>
      </c>
      <c r="J25" s="37">
        <f>IF(AND(catpn_1_PSHB_1&gt;0,catpn_1_PSHV_42&gt;0),(cattf_1_PSHB_1*((dagenperjaar1*VLOOKUP(B25,dagsoorttabel1,2,FALSE))-catfd_1_PSHV_42)/catpn_1_PSHB_1+cattf_1_PSHV_42*catfd_1_PSHV_42/catpn_1_PSHV_42)/(((dagenperjaar1*VLOOKUP(B25,dagsoorttabel1,2,FALSE))-catfd_1_PSHV_42)/catpn_1_PSHB_1+catfd_1_PSHV_42/catpn_1_PSHV_42),0)</f>
        <v>0</v>
      </c>
      <c r="K25" s="34">
        <f t="shared" si="1"/>
        <v>0</v>
      </c>
      <c r="L25" s="37">
        <f t="shared" si="2"/>
        <v>0</v>
      </c>
      <c r="M25" s="34">
        <f t="shared" si="3"/>
        <v>0</v>
      </c>
      <c r="N25" s="37">
        <f t="shared" si="4"/>
        <v>0</v>
      </c>
    </row>
    <row r="26" spans="1:14" x14ac:dyDescent="0.3">
      <c r="A26" s="20" t="s">
        <v>197</v>
      </c>
      <c r="B26" s="20" t="s">
        <v>10</v>
      </c>
      <c r="C26" s="20" t="s">
        <v>163</v>
      </c>
      <c r="D26" s="20" t="s">
        <v>198</v>
      </c>
      <c r="E26" s="34">
        <v>105</v>
      </c>
      <c r="F26" s="34">
        <f t="shared" si="0"/>
        <v>86.470588235294116</v>
      </c>
      <c r="G26" s="35">
        <f>IF(AND(catpn_1_PWHB_1&gt;0,catpn_1_PWHV_42&gt;0),(dagenperjaar1*VLOOKUP(B26,dagsoorttabel1,2,FALSE))/(((dagenperjaar1*VLOOKUP(B26,dagsoorttabel1,2,FALSE))-catfd_1_PWHV_42)/catpn_1_PWHB_1+catfd_1_PWHV_42/catpn_1_PWHV_42),0)</f>
        <v>0</v>
      </c>
      <c r="H26" s="36">
        <f>IF(AND(catpn_1_PWHB_1&gt;0,catpn_1_PWHV_42&gt;0),(catdw_1_PWHB_1*((dagenperjaar1-VLOOKUP(B26,dagsoorttabel1,2,FALSE))-catfd_1_PWHV_42)/catpn_1_PWHB_1+catdw_1_PWHV_42*catfd_1_PWHV_42/catpn_1_PWHV_42)/(((dagenperjaar1-VLOOKUP(B26,dagsoorttabel1,2,FALSE))-catfd_1_PWHV_42)/catpn_1_PWHB_1+catfd_1_PWHV_42/catpn_1_PWHV_42),0)</f>
        <v>0</v>
      </c>
      <c r="I26" s="20" t="s">
        <v>38</v>
      </c>
      <c r="J26" s="37">
        <f>IF(AND(catpn_1_PWHB_1&gt;0,catpn_1_PWHV_42&gt;0),(cattf_1_PWHB_1*((dagenperjaar1*VLOOKUP(B26,dagsoorttabel1,2,FALSE))-catfd_1_PWHV_42)/catpn_1_PWHB_1+cattf_1_PWHV_42*catfd_1_PWHV_42/catpn_1_PWHV_42)/(((dagenperjaar1*VLOOKUP(B26,dagsoorttabel1,2,FALSE))-catfd_1_PWHV_42)/catpn_1_PWHB_1+catfd_1_PWHV_42/catpn_1_PWHV_42),0)</f>
        <v>0</v>
      </c>
      <c r="K26" s="34">
        <f t="shared" si="1"/>
        <v>0</v>
      </c>
      <c r="L26" s="37">
        <f t="shared" si="2"/>
        <v>0</v>
      </c>
      <c r="M26" s="34">
        <f t="shared" si="3"/>
        <v>0</v>
      </c>
      <c r="N26" s="37">
        <f t="shared" si="4"/>
        <v>0</v>
      </c>
    </row>
    <row r="27" spans="1:14" x14ac:dyDescent="0.3">
      <c r="A27" s="20" t="s">
        <v>199</v>
      </c>
      <c r="B27" s="20" t="s">
        <v>10</v>
      </c>
      <c r="C27" s="20" t="s">
        <v>163</v>
      </c>
      <c r="D27" s="20" t="s">
        <v>200</v>
      </c>
      <c r="E27" s="34">
        <v>73</v>
      </c>
      <c r="F27" s="34">
        <f t="shared" si="0"/>
        <v>60.117647058823529</v>
      </c>
      <c r="G27" s="35">
        <f>IF(AND(catpn_1_SDHB_1&gt;0,catpn_1_SDHV_42&gt;0),(dagenperjaar1*VLOOKUP(B27,dagsoorttabel1,2,FALSE))/(((dagenperjaar1*VLOOKUP(B27,dagsoorttabel1,2,FALSE))-catfd_1_SDHV_42)/catpn_1_SDHB_1+catfd_1_SDHV_42/catpn_1_SDHV_42),0)</f>
        <v>0</v>
      </c>
      <c r="H27" s="36">
        <f>IF(AND(catpn_1_SDHB_1&gt;0,catpn_1_SDHV_42&gt;0),(catdw_1_SDHB_1*((dagenperjaar1-VLOOKUP(B27,dagsoorttabel1,2,FALSE))-catfd_1_SDHV_42)/catpn_1_SDHB_1+catdw_1_SDHV_42*catfd_1_SDHV_42/catpn_1_SDHV_42)/(((dagenperjaar1-VLOOKUP(B27,dagsoorttabel1,2,FALSE))-catfd_1_SDHV_42)/catpn_1_SDHB_1+catfd_1_SDHV_42/catpn_1_SDHV_42),0)</f>
        <v>0</v>
      </c>
      <c r="I27" s="20" t="s">
        <v>38</v>
      </c>
      <c r="J27" s="37">
        <f>IF(AND(catpn_1_SDHB_1&gt;0,catpn_1_SDHV_42&gt;0),(cattf_1_SDHB_1*((dagenperjaar1*VLOOKUP(B27,dagsoorttabel1,2,FALSE))-catfd_1_SDHV_42)/catpn_1_SDHB_1+cattf_1_SDHV_42*catfd_1_SDHV_42/catpn_1_SDHV_42)/(((dagenperjaar1*VLOOKUP(B27,dagsoorttabel1,2,FALSE))-catfd_1_SDHV_42)/catpn_1_SDHB_1+catfd_1_SDHV_42/catpn_1_SDHV_42),0)</f>
        <v>0</v>
      </c>
      <c r="K27" s="34">
        <f t="shared" si="1"/>
        <v>0</v>
      </c>
      <c r="L27" s="37">
        <f t="shared" si="2"/>
        <v>0</v>
      </c>
      <c r="M27" s="34">
        <f t="shared" si="3"/>
        <v>0</v>
      </c>
      <c r="N27" s="37">
        <f t="shared" si="4"/>
        <v>0</v>
      </c>
    </row>
    <row r="28" spans="1:14" x14ac:dyDescent="0.3">
      <c r="A28" s="20" t="s">
        <v>201</v>
      </c>
      <c r="B28" s="20" t="s">
        <v>10</v>
      </c>
      <c r="C28" s="20" t="s">
        <v>163</v>
      </c>
      <c r="D28" s="20" t="s">
        <v>202</v>
      </c>
      <c r="E28" s="34">
        <v>138</v>
      </c>
      <c r="F28" s="34">
        <f t="shared" si="0"/>
        <v>113.64705882352941</v>
      </c>
      <c r="G28" s="35">
        <f>IF(AND(catpn_1_SKHB_1&gt;0,catpn_1_SKHV_42&gt;0),(dagenperjaar1*VLOOKUP(B28,dagsoorttabel1,2,FALSE))/(((dagenperjaar1*VLOOKUP(B28,dagsoorttabel1,2,FALSE))-catfd_1_SKHV_42)/catpn_1_SKHB_1+catfd_1_SKHV_42/catpn_1_SKHV_42),0)</f>
        <v>0</v>
      </c>
      <c r="H28" s="36">
        <f>IF(AND(catpn_1_SKHB_1&gt;0,catpn_1_SKHV_42&gt;0),(catdw_1_SKHB_1*((dagenperjaar1-VLOOKUP(B28,dagsoorttabel1,2,FALSE))-catfd_1_SKHV_42)/catpn_1_SKHB_1+catdw_1_SKHV_42*catfd_1_SKHV_42/catpn_1_SKHV_42)/(((dagenperjaar1-VLOOKUP(B28,dagsoorttabel1,2,FALSE))-catfd_1_SKHV_42)/catpn_1_SKHB_1+catfd_1_SKHV_42/catpn_1_SKHV_42),0)</f>
        <v>0</v>
      </c>
      <c r="I28" s="20" t="s">
        <v>38</v>
      </c>
      <c r="J28" s="37">
        <f>IF(AND(catpn_1_SKHB_1&gt;0,catpn_1_SKHV_42&gt;0),(cattf_1_SKHB_1*((dagenperjaar1*VLOOKUP(B28,dagsoorttabel1,2,FALSE))-catfd_1_SKHV_42)/catpn_1_SKHB_1+cattf_1_SKHV_42*catfd_1_SKHV_42/catpn_1_SKHV_42)/(((dagenperjaar1*VLOOKUP(B28,dagsoorttabel1,2,FALSE))-catfd_1_SKHV_42)/catpn_1_SKHB_1+catfd_1_SKHV_42/catpn_1_SKHV_42),0)</f>
        <v>0</v>
      </c>
      <c r="K28" s="34">
        <f t="shared" si="1"/>
        <v>0</v>
      </c>
      <c r="L28" s="37">
        <f t="shared" si="2"/>
        <v>0</v>
      </c>
      <c r="M28" s="34">
        <f t="shared" si="3"/>
        <v>0</v>
      </c>
      <c r="N28" s="37">
        <f t="shared" si="4"/>
        <v>0</v>
      </c>
    </row>
    <row r="29" spans="1:14" x14ac:dyDescent="0.3">
      <c r="A29" s="20" t="s">
        <v>203</v>
      </c>
      <c r="B29" s="20" t="s">
        <v>10</v>
      </c>
      <c r="C29" s="20" t="s">
        <v>163</v>
      </c>
      <c r="D29" s="20" t="s">
        <v>204</v>
      </c>
      <c r="E29" s="34">
        <v>426.5</v>
      </c>
      <c r="F29" s="34">
        <f t="shared" si="0"/>
        <v>351.23529411764702</v>
      </c>
      <c r="G29" s="35">
        <f>IF(AND(catpn_1_STHB_1&gt;0,catpn_1_STHV_42&gt;0),(dagenperjaar1*VLOOKUP(B29,dagsoorttabel1,2,FALSE))/(((dagenperjaar1*VLOOKUP(B29,dagsoorttabel1,2,FALSE))-catfd_1_STHV_42)/catpn_1_STHB_1+catfd_1_STHV_42/catpn_1_STHV_42),0)</f>
        <v>0</v>
      </c>
      <c r="H29" s="36">
        <f>IF(AND(catpn_1_STHB_1&gt;0,catpn_1_STHV_42&gt;0),(catdw_1_STHB_1*((dagenperjaar1-VLOOKUP(B29,dagsoorttabel1,2,FALSE))-catfd_1_STHV_42)/catpn_1_STHB_1+catdw_1_STHV_42*catfd_1_STHV_42/catpn_1_STHV_42)/(((dagenperjaar1-VLOOKUP(B29,dagsoorttabel1,2,FALSE))-catfd_1_STHV_42)/catpn_1_STHB_1+catfd_1_STHV_42/catpn_1_STHV_42),0)</f>
        <v>0</v>
      </c>
      <c r="I29" s="20" t="s">
        <v>38</v>
      </c>
      <c r="J29" s="37">
        <f>IF(AND(catpn_1_STHB_1&gt;0,catpn_1_STHV_42&gt;0),(cattf_1_STHB_1*((dagenperjaar1*VLOOKUP(B29,dagsoorttabel1,2,FALSE))-catfd_1_STHV_42)/catpn_1_STHB_1+cattf_1_STHV_42*catfd_1_STHV_42/catpn_1_STHV_42)/(((dagenperjaar1*VLOOKUP(B29,dagsoorttabel1,2,FALSE))-catfd_1_STHV_42)/catpn_1_STHB_1+catfd_1_STHV_42/catpn_1_STHV_42),0)</f>
        <v>0</v>
      </c>
      <c r="K29" s="34">
        <f t="shared" si="1"/>
        <v>0</v>
      </c>
      <c r="L29" s="37">
        <f t="shared" si="2"/>
        <v>0</v>
      </c>
      <c r="M29" s="34">
        <f t="shared" si="3"/>
        <v>0</v>
      </c>
      <c r="N29" s="37">
        <f t="shared" si="4"/>
        <v>0</v>
      </c>
    </row>
    <row r="30" spans="1:14" x14ac:dyDescent="0.3">
      <c r="A30" s="20" t="s">
        <v>205</v>
      </c>
      <c r="B30" s="20" t="s">
        <v>10</v>
      </c>
      <c r="C30" s="20" t="s">
        <v>163</v>
      </c>
      <c r="D30" s="20" t="s">
        <v>206</v>
      </c>
      <c r="E30" s="34">
        <v>34</v>
      </c>
      <c r="F30" s="34">
        <f t="shared" si="0"/>
        <v>28</v>
      </c>
      <c r="G30" s="35">
        <f>IF(AND(catpn_1_SWHB_1&gt;0,catpn_1_SWHV_42&gt;0),(dagenperjaar1*VLOOKUP(B30,dagsoorttabel1,2,FALSE))/(((dagenperjaar1*VLOOKUP(B30,dagsoorttabel1,2,FALSE))-catfd_1_SWHV_42)/catpn_1_SWHB_1+catfd_1_SWHV_42/catpn_1_SWHV_42),0)</f>
        <v>0</v>
      </c>
      <c r="H30" s="36">
        <f>IF(AND(catpn_1_SWHB_1&gt;0,catpn_1_SWHV_42&gt;0),(catdw_1_SWHB_1*((dagenperjaar1-VLOOKUP(B30,dagsoorttabel1,2,FALSE))-catfd_1_SWHV_42)/catpn_1_SWHB_1+catdw_1_SWHV_42*catfd_1_SWHV_42/catpn_1_SWHV_42)/(((dagenperjaar1-VLOOKUP(B30,dagsoorttabel1,2,FALSE))-catfd_1_SWHV_42)/catpn_1_SWHB_1+catfd_1_SWHV_42/catpn_1_SWHV_42),0)</f>
        <v>0</v>
      </c>
      <c r="I30" s="20" t="s">
        <v>38</v>
      </c>
      <c r="J30" s="37">
        <f>IF(AND(catpn_1_SWHB_1&gt;0,catpn_1_SWHV_42&gt;0),(cattf_1_SWHB_1*((dagenperjaar1*VLOOKUP(B30,dagsoorttabel1,2,FALSE))-catfd_1_SWHV_42)/catpn_1_SWHB_1+cattf_1_SWHV_42*catfd_1_SWHV_42/catpn_1_SWHV_42)/(((dagenperjaar1*VLOOKUP(B30,dagsoorttabel1,2,FALSE))-catfd_1_SWHV_42)/catpn_1_SWHB_1+catfd_1_SWHV_42/catpn_1_SWHV_42),0)</f>
        <v>0</v>
      </c>
      <c r="K30" s="34">
        <f t="shared" si="1"/>
        <v>0</v>
      </c>
      <c r="L30" s="37">
        <f t="shared" si="2"/>
        <v>0</v>
      </c>
      <c r="M30" s="34">
        <f t="shared" si="3"/>
        <v>0</v>
      </c>
      <c r="N30" s="37">
        <f t="shared" si="4"/>
        <v>0</v>
      </c>
    </row>
    <row r="31" spans="1:14" x14ac:dyDescent="0.3">
      <c r="A31" s="20" t="s">
        <v>207</v>
      </c>
      <c r="B31" s="20" t="s">
        <v>10</v>
      </c>
      <c r="C31" s="20" t="s">
        <v>163</v>
      </c>
      <c r="D31" s="20" t="s">
        <v>208</v>
      </c>
      <c r="E31" s="34">
        <v>4604</v>
      </c>
      <c r="F31" s="34">
        <f t="shared" si="0"/>
        <v>3791.5294117647059</v>
      </c>
      <c r="G31" s="35">
        <f>IF(AND(catpn_1_VAHB_1&gt;0,catpn_1_VAHV_42&gt;0),(dagenperjaar1*VLOOKUP(B31,dagsoorttabel1,2,FALSE))/(((dagenperjaar1*VLOOKUP(B31,dagsoorttabel1,2,FALSE))-catfd_1_VAHV_42)/catpn_1_VAHB_1+catfd_1_VAHV_42/catpn_1_VAHV_42),0)</f>
        <v>0</v>
      </c>
      <c r="H31" s="36">
        <f>IF(AND(catpn_1_VAHB_1&gt;0,catpn_1_VAHV_42&gt;0),(catdw_1_VAHB_1*((dagenperjaar1-VLOOKUP(B31,dagsoorttabel1,2,FALSE))-catfd_1_VAHV_42)/catpn_1_VAHB_1+catdw_1_VAHV_42*catfd_1_VAHV_42/catpn_1_VAHV_42)/(((dagenperjaar1-VLOOKUP(B31,dagsoorttabel1,2,FALSE))-catfd_1_VAHV_42)/catpn_1_VAHB_1+catfd_1_VAHV_42/catpn_1_VAHV_42),0)</f>
        <v>0</v>
      </c>
      <c r="I31" s="20" t="s">
        <v>38</v>
      </c>
      <c r="J31" s="37">
        <f>IF(AND(catpn_1_VAHB_1&gt;0,catpn_1_VAHV_42&gt;0),(cattf_1_VAHB_1*((dagenperjaar1*VLOOKUP(B31,dagsoorttabel1,2,FALSE))-catfd_1_VAHV_42)/catpn_1_VAHB_1+cattf_1_VAHV_42*catfd_1_VAHV_42/catpn_1_VAHV_42)/(((dagenperjaar1*VLOOKUP(B31,dagsoorttabel1,2,FALSE))-catfd_1_VAHV_42)/catpn_1_VAHB_1+catfd_1_VAHV_42/catpn_1_VAHV_42),0)</f>
        <v>0</v>
      </c>
      <c r="K31" s="34">
        <f t="shared" si="1"/>
        <v>0</v>
      </c>
      <c r="L31" s="37">
        <f t="shared" si="2"/>
        <v>0</v>
      </c>
      <c r="M31" s="34">
        <f t="shared" si="3"/>
        <v>0</v>
      </c>
      <c r="N31" s="37">
        <f t="shared" si="4"/>
        <v>0</v>
      </c>
    </row>
    <row r="32" spans="1:14" x14ac:dyDescent="0.3">
      <c r="A32" s="20" t="s">
        <v>209</v>
      </c>
      <c r="B32" s="20" t="s">
        <v>10</v>
      </c>
      <c r="C32" s="20" t="s">
        <v>163</v>
      </c>
      <c r="D32" s="20" t="s">
        <v>210</v>
      </c>
      <c r="E32" s="34">
        <v>5</v>
      </c>
      <c r="F32" s="34">
        <f t="shared" si="0"/>
        <v>4.117647058823529</v>
      </c>
      <c r="G32" s="35">
        <f>IF(AND(catpn_1_VAZB_1&gt;0,catpn_1_VAZV_42&gt;0),(dagenperjaar1*VLOOKUP(B32,dagsoorttabel1,2,FALSE))/(((dagenperjaar1*VLOOKUP(B32,dagsoorttabel1,2,FALSE))-catfd_1_VAZV_42)/catpn_1_VAZB_1+catfd_1_VAZV_42/catpn_1_VAZV_42),0)</f>
        <v>0</v>
      </c>
      <c r="H32" s="36">
        <f>IF(AND(catpn_1_VAZB_1&gt;0,catpn_1_VAZV_42&gt;0),(catdw_1_VAZB_1*((dagenperjaar1-VLOOKUP(B32,dagsoorttabel1,2,FALSE))-catfd_1_VAZV_42)/catpn_1_VAZB_1+catdw_1_VAZV_42*catfd_1_VAZV_42/catpn_1_VAZV_42)/(((dagenperjaar1-VLOOKUP(B32,dagsoorttabel1,2,FALSE))-catfd_1_VAZV_42)/catpn_1_VAZB_1+catfd_1_VAZV_42/catpn_1_VAZV_42),0)</f>
        <v>0</v>
      </c>
      <c r="I32" s="20" t="s">
        <v>38</v>
      </c>
      <c r="J32" s="37">
        <f>IF(AND(catpn_1_VAZB_1&gt;0,catpn_1_VAZV_42&gt;0),(cattf_1_VAZB_1*((dagenperjaar1*VLOOKUP(B32,dagsoorttabel1,2,FALSE))-catfd_1_VAZV_42)/catpn_1_VAZB_1+cattf_1_VAZV_42*catfd_1_VAZV_42/catpn_1_VAZV_42)/(((dagenperjaar1*VLOOKUP(B32,dagsoorttabel1,2,FALSE))-catfd_1_VAZV_42)/catpn_1_VAZB_1+catfd_1_VAZV_42/catpn_1_VAZV_42),0)</f>
        <v>0</v>
      </c>
      <c r="K32" s="34">
        <f t="shared" si="1"/>
        <v>0</v>
      </c>
      <c r="L32" s="37">
        <f t="shared" si="2"/>
        <v>0</v>
      </c>
      <c r="M32" s="34">
        <f t="shared" si="3"/>
        <v>0</v>
      </c>
      <c r="N32" s="37">
        <f t="shared" si="4"/>
        <v>0</v>
      </c>
    </row>
    <row r="33" spans="1:14" x14ac:dyDescent="0.3">
      <c r="A33" s="20" t="s">
        <v>211</v>
      </c>
      <c r="B33" s="20" t="s">
        <v>10</v>
      </c>
      <c r="C33" s="20" t="s">
        <v>163</v>
      </c>
      <c r="D33" s="20" t="s">
        <v>212</v>
      </c>
      <c r="E33" s="34">
        <v>141</v>
      </c>
      <c r="F33" s="34">
        <f t="shared" si="0"/>
        <v>116.11764705882352</v>
      </c>
      <c r="G33" s="35">
        <f>IF(AND(catpn_1_VEZB_1&gt;0,catpn_1_VEZV_42&gt;0),(dagenperjaar1*VLOOKUP(B33,dagsoorttabel1,2,FALSE))/(((dagenperjaar1*VLOOKUP(B33,dagsoorttabel1,2,FALSE))-catfd_1_VEZV_42)/catpn_1_VEZB_1+catfd_1_VEZV_42/catpn_1_VEZV_42),0)</f>
        <v>0</v>
      </c>
      <c r="H33" s="36">
        <f>IF(AND(catpn_1_VEZB_1&gt;0,catpn_1_VEZV_42&gt;0),(catdw_1_VEZB_1*((dagenperjaar1-VLOOKUP(B33,dagsoorttabel1,2,FALSE))-catfd_1_VEZV_42)/catpn_1_VEZB_1+catdw_1_VEZV_42*catfd_1_VEZV_42/catpn_1_VEZV_42)/(((dagenperjaar1-VLOOKUP(B33,dagsoorttabel1,2,FALSE))-catfd_1_VEZV_42)/catpn_1_VEZB_1+catfd_1_VEZV_42/catpn_1_VEZV_42),0)</f>
        <v>0</v>
      </c>
      <c r="I33" s="20" t="s">
        <v>38</v>
      </c>
      <c r="J33" s="37">
        <f>IF(AND(catpn_1_VEZB_1&gt;0,catpn_1_VEZV_42&gt;0),(cattf_1_VEZB_1*((dagenperjaar1*VLOOKUP(B33,dagsoorttabel1,2,FALSE))-catfd_1_VEZV_42)/catpn_1_VEZB_1+cattf_1_VEZV_42*catfd_1_VEZV_42/catpn_1_VEZV_42)/(((dagenperjaar1*VLOOKUP(B33,dagsoorttabel1,2,FALSE))-catfd_1_VEZV_42)/catpn_1_VEZB_1+catfd_1_VEZV_42/catpn_1_VEZV_42),0)</f>
        <v>0</v>
      </c>
      <c r="K33" s="34">
        <f t="shared" si="1"/>
        <v>0</v>
      </c>
      <c r="L33" s="37">
        <f t="shared" si="2"/>
        <v>0</v>
      </c>
      <c r="M33" s="34">
        <f t="shared" si="3"/>
        <v>0</v>
      </c>
      <c r="N33" s="37">
        <f t="shared" si="4"/>
        <v>0</v>
      </c>
    </row>
    <row r="34" spans="1:14" x14ac:dyDescent="0.3">
      <c r="A34" s="20" t="s">
        <v>213</v>
      </c>
      <c r="B34" s="20" t="s">
        <v>10</v>
      </c>
      <c r="C34" s="20" t="s">
        <v>163</v>
      </c>
      <c r="D34" s="20" t="s">
        <v>214</v>
      </c>
      <c r="E34" s="34">
        <v>45</v>
      </c>
      <c r="F34" s="34">
        <f t="shared" si="0"/>
        <v>37.058823529411761</v>
      </c>
      <c r="G34" s="35">
        <f>IF(AND(catpn_1_VOHB_1&gt;0,catpn_1_VOHV_42&gt;0),(dagenperjaar1*VLOOKUP(B34,dagsoorttabel1,2,FALSE))/(((dagenperjaar1*VLOOKUP(B34,dagsoorttabel1,2,FALSE))-catfd_1_VOHV_42)/catpn_1_VOHB_1+catfd_1_VOHV_42/catpn_1_VOHV_42),0)</f>
        <v>0</v>
      </c>
      <c r="H34" s="36">
        <f>IF(AND(catpn_1_VOHB_1&gt;0,catpn_1_VOHV_42&gt;0),(catdw_1_VOHB_1*((dagenperjaar1-VLOOKUP(B34,dagsoorttabel1,2,FALSE))-catfd_1_VOHV_42)/catpn_1_VOHB_1+catdw_1_VOHV_42*catfd_1_VOHV_42/catpn_1_VOHV_42)/(((dagenperjaar1-VLOOKUP(B34,dagsoorttabel1,2,FALSE))-catfd_1_VOHV_42)/catpn_1_VOHB_1+catfd_1_VOHV_42/catpn_1_VOHV_42),0)</f>
        <v>0</v>
      </c>
      <c r="I34" s="20" t="s">
        <v>38</v>
      </c>
      <c r="J34" s="37">
        <f>IF(AND(catpn_1_VOHB_1&gt;0,catpn_1_VOHV_42&gt;0),(cattf_1_VOHB_1*((dagenperjaar1*VLOOKUP(B34,dagsoorttabel1,2,FALSE))-catfd_1_VOHV_42)/catpn_1_VOHB_1+cattf_1_VOHV_42*catfd_1_VOHV_42/catpn_1_VOHV_42)/(((dagenperjaar1*VLOOKUP(B34,dagsoorttabel1,2,FALSE))-catfd_1_VOHV_42)/catpn_1_VOHB_1+catfd_1_VOHV_42/catpn_1_VOHV_42),0)</f>
        <v>0</v>
      </c>
      <c r="K34" s="34">
        <f t="shared" si="1"/>
        <v>0</v>
      </c>
      <c r="L34" s="37">
        <f t="shared" si="2"/>
        <v>0</v>
      </c>
      <c r="M34" s="34">
        <f t="shared" si="3"/>
        <v>0</v>
      </c>
      <c r="N34" s="37">
        <f t="shared" si="4"/>
        <v>0</v>
      </c>
    </row>
    <row r="35" spans="1:14" x14ac:dyDescent="0.3">
      <c r="A35" s="20" t="s">
        <v>215</v>
      </c>
      <c r="B35" s="20" t="s">
        <v>10</v>
      </c>
      <c r="C35" s="20" t="s">
        <v>163</v>
      </c>
      <c r="D35" s="20" t="s">
        <v>216</v>
      </c>
      <c r="E35" s="34">
        <v>3</v>
      </c>
      <c r="F35" s="34">
        <f t="shared" si="0"/>
        <v>2.4705882352941178</v>
      </c>
      <c r="G35" s="35">
        <f>IF(AND(catpn_1_VOZB_1&gt;0,catpn_1_VOZV_42&gt;0),(dagenperjaar1*VLOOKUP(B35,dagsoorttabel1,2,FALSE))/(((dagenperjaar1*VLOOKUP(B35,dagsoorttabel1,2,FALSE))-catfd_1_VOZV_42)/catpn_1_VOZB_1+catfd_1_VOZV_42/catpn_1_VOZV_42),0)</f>
        <v>0</v>
      </c>
      <c r="H35" s="36">
        <f>IF(AND(catpn_1_VOZB_1&gt;0,catpn_1_VOZV_42&gt;0),(catdw_1_VOZB_1*((dagenperjaar1-VLOOKUP(B35,dagsoorttabel1,2,FALSE))-catfd_1_VOZV_42)/catpn_1_VOZB_1+catdw_1_VOZV_42*catfd_1_VOZV_42/catpn_1_VOZV_42)/(((dagenperjaar1-VLOOKUP(B35,dagsoorttabel1,2,FALSE))-catfd_1_VOZV_42)/catpn_1_VOZB_1+catfd_1_VOZV_42/catpn_1_VOZV_42),0)</f>
        <v>0</v>
      </c>
      <c r="I35" s="20" t="s">
        <v>38</v>
      </c>
      <c r="J35" s="37">
        <f>IF(AND(catpn_1_VOZB_1&gt;0,catpn_1_VOZV_42&gt;0),(cattf_1_VOZB_1*((dagenperjaar1*VLOOKUP(B35,dagsoorttabel1,2,FALSE))-catfd_1_VOZV_42)/catpn_1_VOZB_1+cattf_1_VOZV_42*catfd_1_VOZV_42/catpn_1_VOZV_42)/(((dagenperjaar1*VLOOKUP(B35,dagsoorttabel1,2,FALSE))-catfd_1_VOZV_42)/catpn_1_VOZB_1+catfd_1_VOZV_42/catpn_1_VOZV_42),0)</f>
        <v>0</v>
      </c>
      <c r="K35" s="34">
        <f t="shared" si="1"/>
        <v>0</v>
      </c>
      <c r="L35" s="37">
        <f t="shared" si="2"/>
        <v>0</v>
      </c>
      <c r="M35" s="34">
        <f t="shared" si="3"/>
        <v>0</v>
      </c>
      <c r="N35" s="37">
        <f t="shared" si="4"/>
        <v>0</v>
      </c>
    </row>
    <row r="36" spans="1:14" x14ac:dyDescent="0.3">
      <c r="A36" s="25" t="s">
        <v>217</v>
      </c>
      <c r="B36" s="25" t="s">
        <v>10</v>
      </c>
      <c r="C36" s="25" t="s">
        <v>163</v>
      </c>
      <c r="D36" s="25" t="s">
        <v>218</v>
      </c>
      <c r="E36" s="38">
        <v>145</v>
      </c>
      <c r="F36" s="38">
        <f t="shared" si="0"/>
        <v>119.41176470588235</v>
      </c>
      <c r="G36" s="39">
        <f>IF(AND(catpn_1_VTHB_1&gt;0,catpn_1_VTHV_42&gt;0),(dagenperjaar1*VLOOKUP(B36,dagsoorttabel1,2,FALSE))/(((dagenperjaar1*VLOOKUP(B36,dagsoorttabel1,2,FALSE))-catfd_1_VTHV_42)/catpn_1_VTHB_1+catfd_1_VTHV_42/catpn_1_VTHV_42),0)</f>
        <v>0</v>
      </c>
      <c r="H36" s="40">
        <f>IF(AND(catpn_1_VTHB_1&gt;0,catpn_1_VTHV_42&gt;0),(catdw_1_VTHB_1*((dagenperjaar1-VLOOKUP(B36,dagsoorttabel1,2,FALSE))-catfd_1_VTHV_42)/catpn_1_VTHB_1+catdw_1_VTHV_42*catfd_1_VTHV_42/catpn_1_VTHV_42)/(((dagenperjaar1-VLOOKUP(B36,dagsoorttabel1,2,FALSE))-catfd_1_VTHV_42)/catpn_1_VTHB_1+catfd_1_VTHV_42/catpn_1_VTHV_42),0)</f>
        <v>0</v>
      </c>
      <c r="I36" s="25" t="s">
        <v>38</v>
      </c>
      <c r="J36" s="41">
        <f>IF(AND(catpn_1_VTHB_1&gt;0,catpn_1_VTHV_42&gt;0),(cattf_1_VTHB_1*((dagenperjaar1*VLOOKUP(B36,dagsoorttabel1,2,FALSE))-catfd_1_VTHV_42)/catpn_1_VTHB_1+cattf_1_VTHV_42*catfd_1_VTHV_42/catpn_1_VTHV_42)/(((dagenperjaar1*VLOOKUP(B36,dagsoorttabel1,2,FALSE))-catfd_1_VTHV_42)/catpn_1_VTHB_1+catfd_1_VTHV_42/catpn_1_VTHV_42),0)</f>
        <v>0</v>
      </c>
      <c r="K36" s="38">
        <f t="shared" si="1"/>
        <v>0</v>
      </c>
      <c r="L36" s="41">
        <f t="shared" si="2"/>
        <v>0</v>
      </c>
      <c r="M36" s="38">
        <f t="shared" si="3"/>
        <v>0</v>
      </c>
      <c r="N36" s="41">
        <f t="shared" si="4"/>
        <v>0</v>
      </c>
    </row>
    <row r="37" spans="1:14" x14ac:dyDescent="0.3">
      <c r="A37" s="43" t="s">
        <v>219</v>
      </c>
      <c r="B37" s="44"/>
      <c r="C37" s="44"/>
      <c r="D37" s="44"/>
      <c r="E37" s="44"/>
      <c r="F37" s="44"/>
      <c r="G37" s="44"/>
      <c r="H37" s="44"/>
      <c r="I37" s="44"/>
      <c r="J37" s="44"/>
      <c r="K37" s="45">
        <f>SUM(K6:K36)</f>
        <v>0</v>
      </c>
      <c r="L37" s="46">
        <f>SUM(L6:L36)</f>
        <v>0</v>
      </c>
      <c r="M37" s="45">
        <f>SUM(M6:M36)</f>
        <v>0</v>
      </c>
      <c r="N37" s="47">
        <f>SUM(N6:N36)</f>
        <v>0</v>
      </c>
    </row>
    <row r="38" spans="1:14" x14ac:dyDescent="0.3">
      <c r="A38" s="48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9"/>
    </row>
    <row r="39" spans="1:14" x14ac:dyDescent="0.3">
      <c r="A39" s="43" t="s">
        <v>220</v>
      </c>
      <c r="B39" s="44"/>
      <c r="C39" s="44"/>
      <c r="D39" s="44"/>
      <c r="E39" s="44"/>
      <c r="F39" s="44"/>
      <c r="G39" s="44"/>
      <c r="H39" s="44"/>
      <c r="I39" s="44"/>
      <c r="J39" s="46">
        <f>IF(urenjaar1&gt;0,SUMIF(M6:M36,"&gt;0",N6:N36)/urenjaar1,0)</f>
        <v>0</v>
      </c>
      <c r="K39" s="44"/>
      <c r="L39" s="44"/>
      <c r="M39" s="44"/>
      <c r="N39" s="49"/>
    </row>
    <row r="40" spans="1:14" x14ac:dyDescent="0.3">
      <c r="A40" s="48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9"/>
    </row>
    <row r="42" spans="1:14" x14ac:dyDescent="0.3">
      <c r="A42" s="43" t="s">
        <v>221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5">
        <f>urenjaar1</f>
        <v>0</v>
      </c>
      <c r="N42" s="46">
        <f>prijsjaar1</f>
        <v>0</v>
      </c>
    </row>
  </sheetData>
  <pageMargins left="0.7" right="0.7" top="0.75" bottom="0.75" header="0.3" footer="0.3"/>
  <pageSetup paperSize="9" scale="70" orientation="landscape" horizontalDpi="150" verticalDpi="0" r:id="rId1"/>
  <headerFooter>
    <oddFooter>&amp;LOns Middelbaar Onderwijs                                    
CONCEPT PER 01-01-2022&amp;ROpmaakdatum: 07-12-2021
Intexso - De Start 5 - Leusden
+31 (33) 2778485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0BA97-4F5D-45C0-A559-6F3653331C6C}">
  <dimension ref="A1:V323"/>
  <sheetViews>
    <sheetView workbookViewId="0"/>
  </sheetViews>
  <sheetFormatPr defaultRowHeight="14.4" x14ac:dyDescent="0.3"/>
  <cols>
    <col min="1" max="1" width="8.77734375" customWidth="1"/>
    <col min="2" max="3" width="7.77734375" customWidth="1"/>
    <col min="4" max="4" width="10.77734375" customWidth="1"/>
    <col min="5" max="5" width="25.77734375" customWidth="1"/>
    <col min="6" max="6" width="11.77734375" customWidth="1"/>
    <col min="7" max="7" width="7.77734375" customWidth="1"/>
    <col min="8" max="8" width="6.77734375" customWidth="1"/>
    <col min="9" max="9" width="8.77734375" customWidth="1"/>
    <col min="10" max="10" width="10.77734375" customWidth="1"/>
    <col min="11" max="11" width="12.77734375" customWidth="1"/>
    <col min="12" max="13" width="10.77734375" customWidth="1"/>
    <col min="14" max="15" width="11.77734375" customWidth="1"/>
    <col min="16" max="16" width="9.77734375" customWidth="1"/>
    <col min="17" max="20" width="11.77734375" customWidth="1"/>
    <col min="21" max="21" width="12.77734375" customWidth="1"/>
    <col min="22" max="22" width="14.77734375" customWidth="1"/>
  </cols>
  <sheetData>
    <row r="1" spans="1:22" x14ac:dyDescent="0.3">
      <c r="A1" s="1" t="str">
        <f>CONCATENATE("Bijlage G.3: ",tabeltype," ruimten werkdag")</f>
        <v>Bijlage G.3: Invultabel ruimten werkdag</v>
      </c>
    </row>
    <row r="3" spans="1:22" ht="43.2" x14ac:dyDescent="0.3">
      <c r="A3" s="50" t="s">
        <v>222</v>
      </c>
      <c r="B3" s="8" t="s">
        <v>223</v>
      </c>
      <c r="C3" s="8" t="s">
        <v>224</v>
      </c>
      <c r="D3" s="8" t="s">
        <v>225</v>
      </c>
      <c r="E3" s="8" t="s">
        <v>226</v>
      </c>
      <c r="F3" s="8" t="s">
        <v>227</v>
      </c>
      <c r="G3" s="8" t="s">
        <v>154</v>
      </c>
      <c r="H3" s="8" t="s">
        <v>7</v>
      </c>
      <c r="I3" s="8" t="s">
        <v>228</v>
      </c>
      <c r="J3" s="8" t="s">
        <v>229</v>
      </c>
      <c r="K3" s="8" t="s">
        <v>230</v>
      </c>
      <c r="L3" s="8" t="s">
        <v>156</v>
      </c>
      <c r="M3" s="8" t="s">
        <v>157</v>
      </c>
      <c r="N3" s="8" t="s">
        <v>30</v>
      </c>
      <c r="O3" s="8" t="s">
        <v>31</v>
      </c>
      <c r="P3" s="8" t="s">
        <v>32</v>
      </c>
      <c r="Q3" s="8" t="s">
        <v>33</v>
      </c>
      <c r="R3" s="8" t="s">
        <v>158</v>
      </c>
      <c r="S3" s="8" t="s">
        <v>231</v>
      </c>
      <c r="T3" s="8" t="s">
        <v>159</v>
      </c>
      <c r="U3" s="8" t="s">
        <v>160</v>
      </c>
      <c r="V3" s="51" t="s">
        <v>161</v>
      </c>
    </row>
    <row r="4" spans="1:22" x14ac:dyDescent="0.3">
      <c r="A4" s="52" t="s">
        <v>232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42"/>
    </row>
    <row r="5" spans="1:22" x14ac:dyDescent="0.3">
      <c r="A5" s="53" t="s">
        <v>233</v>
      </c>
      <c r="B5" s="54" t="s">
        <v>234</v>
      </c>
      <c r="C5" s="54" t="s">
        <v>235</v>
      </c>
      <c r="D5" s="54" t="s">
        <v>236</v>
      </c>
      <c r="E5" s="55" t="s">
        <v>237</v>
      </c>
      <c r="F5" s="54" t="s">
        <v>238</v>
      </c>
      <c r="G5" s="54" t="s">
        <v>211</v>
      </c>
      <c r="H5" s="54" t="s">
        <v>10</v>
      </c>
      <c r="I5" s="54" t="s">
        <v>163</v>
      </c>
      <c r="J5" s="54" t="s">
        <v>239</v>
      </c>
      <c r="K5" s="54" t="s">
        <v>234</v>
      </c>
      <c r="L5" s="56">
        <v>9</v>
      </c>
      <c r="M5" s="56">
        <f t="shared" ref="M5:M36" si="0">L5*VLOOKUP(H5,dagsoorttabel1,2,FALSE)</f>
        <v>7.4117647058823524</v>
      </c>
      <c r="N5" s="57">
        <f>prodnorm28</f>
        <v>0</v>
      </c>
      <c r="O5" s="58">
        <f>dagwerk28</f>
        <v>0</v>
      </c>
      <c r="P5" s="54" t="s">
        <v>38</v>
      </c>
      <c r="Q5" s="59">
        <f>uurtarief28</f>
        <v>0</v>
      </c>
      <c r="R5" s="56" t="e">
        <f t="shared" ref="R5:R36" si="1">IF(ISBLANK(N5),0,M5/ROUND(N5,4))</f>
        <v>#DIV/0!</v>
      </c>
      <c r="S5" s="56" t="e">
        <f t="shared" ref="S5:S36" si="2">IF(ISBLANK(N5),0,R5*ROUND(O5,2))</f>
        <v>#DIV/0!</v>
      </c>
      <c r="T5" s="59" t="e">
        <f t="shared" ref="T5:T36" si="3">ROUND(Q5,2)*R5</f>
        <v>#DIV/0!</v>
      </c>
      <c r="U5" s="56" t="e">
        <f t="shared" ref="U5:U36" si="4">R5*dagenperjaar1</f>
        <v>#DIV/0!</v>
      </c>
      <c r="V5" s="60" t="e">
        <f t="shared" ref="V5:V36" si="5">U5*ROUND(Q5,2)</f>
        <v>#DIV/0!</v>
      </c>
    </row>
    <row r="6" spans="1:22" x14ac:dyDescent="0.3">
      <c r="A6" s="61" t="s">
        <v>233</v>
      </c>
      <c r="B6" s="62" t="s">
        <v>234</v>
      </c>
      <c r="C6" s="62" t="s">
        <v>235</v>
      </c>
      <c r="D6" s="62" t="s">
        <v>240</v>
      </c>
      <c r="E6" s="63" t="s">
        <v>241</v>
      </c>
      <c r="F6" s="62" t="s">
        <v>242</v>
      </c>
      <c r="G6" s="62" t="s">
        <v>217</v>
      </c>
      <c r="H6" s="62" t="s">
        <v>10</v>
      </c>
      <c r="I6" s="62" t="s">
        <v>163</v>
      </c>
      <c r="J6" s="62" t="s">
        <v>239</v>
      </c>
      <c r="K6" s="62" t="s">
        <v>234</v>
      </c>
      <c r="L6" s="64">
        <v>16</v>
      </c>
      <c r="M6" s="64">
        <f t="shared" si="0"/>
        <v>13.176470588235293</v>
      </c>
      <c r="N6" s="65">
        <f>prodnorm31</f>
        <v>0</v>
      </c>
      <c r="O6" s="66">
        <f>dagwerk31</f>
        <v>0</v>
      </c>
      <c r="P6" s="62" t="s">
        <v>38</v>
      </c>
      <c r="Q6" s="67">
        <f>uurtarief31</f>
        <v>0</v>
      </c>
      <c r="R6" s="64" t="e">
        <f t="shared" si="1"/>
        <v>#DIV/0!</v>
      </c>
      <c r="S6" s="64" t="e">
        <f t="shared" si="2"/>
        <v>#DIV/0!</v>
      </c>
      <c r="T6" s="67" t="e">
        <f t="shared" si="3"/>
        <v>#DIV/0!</v>
      </c>
      <c r="U6" s="64" t="e">
        <f t="shared" si="4"/>
        <v>#DIV/0!</v>
      </c>
      <c r="V6" s="68" t="e">
        <f t="shared" si="5"/>
        <v>#DIV/0!</v>
      </c>
    </row>
    <row r="7" spans="1:22" x14ac:dyDescent="0.3">
      <c r="A7" s="61" t="s">
        <v>233</v>
      </c>
      <c r="B7" s="62" t="s">
        <v>234</v>
      </c>
      <c r="C7" s="62" t="s">
        <v>235</v>
      </c>
      <c r="D7" s="62" t="s">
        <v>243</v>
      </c>
      <c r="E7" s="63" t="s">
        <v>244</v>
      </c>
      <c r="F7" s="62" t="s">
        <v>245</v>
      </c>
      <c r="G7" s="62" t="s">
        <v>203</v>
      </c>
      <c r="H7" s="62" t="s">
        <v>10</v>
      </c>
      <c r="I7" s="62" t="s">
        <v>163</v>
      </c>
      <c r="J7" s="62" t="s">
        <v>246</v>
      </c>
      <c r="K7" s="62" t="s">
        <v>234</v>
      </c>
      <c r="L7" s="64">
        <v>6</v>
      </c>
      <c r="M7" s="64">
        <f t="shared" si="0"/>
        <v>4.9411764705882355</v>
      </c>
      <c r="N7" s="65">
        <f>prodnorm24</f>
        <v>0</v>
      </c>
      <c r="O7" s="66">
        <f>dagwerk24</f>
        <v>0</v>
      </c>
      <c r="P7" s="62" t="s">
        <v>38</v>
      </c>
      <c r="Q7" s="67">
        <f>uurtarief24</f>
        <v>0</v>
      </c>
      <c r="R7" s="64" t="e">
        <f t="shared" si="1"/>
        <v>#DIV/0!</v>
      </c>
      <c r="S7" s="64" t="e">
        <f t="shared" si="2"/>
        <v>#DIV/0!</v>
      </c>
      <c r="T7" s="67" t="e">
        <f t="shared" si="3"/>
        <v>#DIV/0!</v>
      </c>
      <c r="U7" s="64" t="e">
        <f t="shared" si="4"/>
        <v>#DIV/0!</v>
      </c>
      <c r="V7" s="68" t="e">
        <f t="shared" si="5"/>
        <v>#DIV/0!</v>
      </c>
    </row>
    <row r="8" spans="1:22" x14ac:dyDescent="0.3">
      <c r="A8" s="61" t="s">
        <v>233</v>
      </c>
      <c r="B8" s="62" t="s">
        <v>234</v>
      </c>
      <c r="C8" s="62" t="s">
        <v>235</v>
      </c>
      <c r="D8" s="62" t="s">
        <v>247</v>
      </c>
      <c r="E8" s="63" t="s">
        <v>248</v>
      </c>
      <c r="F8" s="62" t="s">
        <v>249</v>
      </c>
      <c r="G8" s="62" t="s">
        <v>211</v>
      </c>
      <c r="H8" s="62" t="s">
        <v>10</v>
      </c>
      <c r="I8" s="62" t="s">
        <v>163</v>
      </c>
      <c r="J8" s="62" t="s">
        <v>239</v>
      </c>
      <c r="K8" s="62" t="s">
        <v>234</v>
      </c>
      <c r="L8" s="64">
        <v>7</v>
      </c>
      <c r="M8" s="64">
        <f t="shared" si="0"/>
        <v>5.7647058823529411</v>
      </c>
      <c r="N8" s="65">
        <f>prodnorm28</f>
        <v>0</v>
      </c>
      <c r="O8" s="66">
        <f>dagwerk28</f>
        <v>0</v>
      </c>
      <c r="P8" s="62" t="s">
        <v>38</v>
      </c>
      <c r="Q8" s="67">
        <f>uurtarief28</f>
        <v>0</v>
      </c>
      <c r="R8" s="64" t="e">
        <f t="shared" si="1"/>
        <v>#DIV/0!</v>
      </c>
      <c r="S8" s="64" t="e">
        <f t="shared" si="2"/>
        <v>#DIV/0!</v>
      </c>
      <c r="T8" s="67" t="e">
        <f t="shared" si="3"/>
        <v>#DIV/0!</v>
      </c>
      <c r="U8" s="64" t="e">
        <f t="shared" si="4"/>
        <v>#DIV/0!</v>
      </c>
      <c r="V8" s="68" t="e">
        <f t="shared" si="5"/>
        <v>#DIV/0!</v>
      </c>
    </row>
    <row r="9" spans="1:22" x14ac:dyDescent="0.3">
      <c r="A9" s="61" t="s">
        <v>233</v>
      </c>
      <c r="B9" s="62" t="s">
        <v>234</v>
      </c>
      <c r="C9" s="62" t="s">
        <v>235</v>
      </c>
      <c r="D9" s="62" t="s">
        <v>250</v>
      </c>
      <c r="E9" s="63" t="s">
        <v>251</v>
      </c>
      <c r="F9" s="62" t="s">
        <v>252</v>
      </c>
      <c r="G9" s="62" t="s">
        <v>171</v>
      </c>
      <c r="H9" s="62" t="s">
        <v>10</v>
      </c>
      <c r="I9" s="62" t="s">
        <v>163</v>
      </c>
      <c r="J9" s="62" t="s">
        <v>239</v>
      </c>
      <c r="K9" s="62" t="s">
        <v>234</v>
      </c>
      <c r="L9" s="64">
        <v>319</v>
      </c>
      <c r="M9" s="64">
        <f t="shared" si="0"/>
        <v>262.70588235294116</v>
      </c>
      <c r="N9" s="65">
        <f>prodnorm6</f>
        <v>0</v>
      </c>
      <c r="O9" s="66">
        <f>dagwerk6</f>
        <v>0</v>
      </c>
      <c r="P9" s="62" t="s">
        <v>38</v>
      </c>
      <c r="Q9" s="67">
        <f>uurtarief6</f>
        <v>0</v>
      </c>
      <c r="R9" s="64" t="e">
        <f t="shared" si="1"/>
        <v>#DIV/0!</v>
      </c>
      <c r="S9" s="64" t="e">
        <f t="shared" si="2"/>
        <v>#DIV/0!</v>
      </c>
      <c r="T9" s="67" t="e">
        <f t="shared" si="3"/>
        <v>#DIV/0!</v>
      </c>
      <c r="U9" s="64" t="e">
        <f t="shared" si="4"/>
        <v>#DIV/0!</v>
      </c>
      <c r="V9" s="68" t="e">
        <f t="shared" si="5"/>
        <v>#DIV/0!</v>
      </c>
    </row>
    <row r="10" spans="1:22" x14ac:dyDescent="0.3">
      <c r="A10" s="61" t="s">
        <v>233</v>
      </c>
      <c r="B10" s="62" t="s">
        <v>234</v>
      </c>
      <c r="C10" s="62" t="s">
        <v>235</v>
      </c>
      <c r="D10" s="62" t="s">
        <v>253</v>
      </c>
      <c r="E10" s="63" t="s">
        <v>254</v>
      </c>
      <c r="F10" s="62" t="s">
        <v>245</v>
      </c>
      <c r="G10" s="62" t="s">
        <v>203</v>
      </c>
      <c r="H10" s="62" t="s">
        <v>10</v>
      </c>
      <c r="I10" s="62" t="s">
        <v>163</v>
      </c>
      <c r="J10" s="62" t="s">
        <v>246</v>
      </c>
      <c r="K10" s="62" t="s">
        <v>234</v>
      </c>
      <c r="L10" s="64">
        <v>7</v>
      </c>
      <c r="M10" s="64">
        <f t="shared" si="0"/>
        <v>5.7647058823529411</v>
      </c>
      <c r="N10" s="65">
        <f>prodnorm24</f>
        <v>0</v>
      </c>
      <c r="O10" s="66">
        <f>dagwerk24</f>
        <v>0</v>
      </c>
      <c r="P10" s="62" t="s">
        <v>38</v>
      </c>
      <c r="Q10" s="67">
        <f>uurtarief24</f>
        <v>0</v>
      </c>
      <c r="R10" s="64" t="e">
        <f t="shared" si="1"/>
        <v>#DIV/0!</v>
      </c>
      <c r="S10" s="64" t="e">
        <f t="shared" si="2"/>
        <v>#DIV/0!</v>
      </c>
      <c r="T10" s="67" t="e">
        <f t="shared" si="3"/>
        <v>#DIV/0!</v>
      </c>
      <c r="U10" s="64" t="e">
        <f t="shared" si="4"/>
        <v>#DIV/0!</v>
      </c>
      <c r="V10" s="68" t="e">
        <f t="shared" si="5"/>
        <v>#DIV/0!</v>
      </c>
    </row>
    <row r="11" spans="1:22" x14ac:dyDescent="0.3">
      <c r="A11" s="61" t="s">
        <v>233</v>
      </c>
      <c r="B11" s="62" t="s">
        <v>234</v>
      </c>
      <c r="C11" s="62" t="s">
        <v>235</v>
      </c>
      <c r="D11" s="62" t="s">
        <v>255</v>
      </c>
      <c r="E11" s="63" t="s">
        <v>256</v>
      </c>
      <c r="F11" s="62" t="s">
        <v>252</v>
      </c>
      <c r="G11" s="62" t="s">
        <v>207</v>
      </c>
      <c r="H11" s="62" t="s">
        <v>10</v>
      </c>
      <c r="I11" s="62" t="s">
        <v>163</v>
      </c>
      <c r="J11" s="62" t="s">
        <v>239</v>
      </c>
      <c r="K11" s="62" t="s">
        <v>234</v>
      </c>
      <c r="L11" s="64">
        <v>28</v>
      </c>
      <c r="M11" s="64">
        <f t="shared" si="0"/>
        <v>23.058823529411764</v>
      </c>
      <c r="N11" s="65">
        <f>prodnorm26</f>
        <v>0</v>
      </c>
      <c r="O11" s="66">
        <f>dagwerk26</f>
        <v>0</v>
      </c>
      <c r="P11" s="62" t="s">
        <v>38</v>
      </c>
      <c r="Q11" s="67">
        <f>uurtarief26</f>
        <v>0</v>
      </c>
      <c r="R11" s="64" t="e">
        <f t="shared" si="1"/>
        <v>#DIV/0!</v>
      </c>
      <c r="S11" s="64" t="e">
        <f t="shared" si="2"/>
        <v>#DIV/0!</v>
      </c>
      <c r="T11" s="67" t="e">
        <f t="shared" si="3"/>
        <v>#DIV/0!</v>
      </c>
      <c r="U11" s="64" t="e">
        <f t="shared" si="4"/>
        <v>#DIV/0!</v>
      </c>
      <c r="V11" s="68" t="e">
        <f t="shared" si="5"/>
        <v>#DIV/0!</v>
      </c>
    </row>
    <row r="12" spans="1:22" x14ac:dyDescent="0.3">
      <c r="A12" s="61" t="s">
        <v>233</v>
      </c>
      <c r="B12" s="62" t="s">
        <v>234</v>
      </c>
      <c r="C12" s="62" t="s">
        <v>235</v>
      </c>
      <c r="D12" s="62" t="s">
        <v>257</v>
      </c>
      <c r="E12" s="63" t="s">
        <v>244</v>
      </c>
      <c r="F12" s="62" t="s">
        <v>245</v>
      </c>
      <c r="G12" s="62" t="s">
        <v>203</v>
      </c>
      <c r="H12" s="62" t="s">
        <v>10</v>
      </c>
      <c r="I12" s="62" t="s">
        <v>163</v>
      </c>
      <c r="J12" s="62" t="s">
        <v>246</v>
      </c>
      <c r="K12" s="62" t="s">
        <v>234</v>
      </c>
      <c r="L12" s="64">
        <v>8</v>
      </c>
      <c r="M12" s="64">
        <f t="shared" si="0"/>
        <v>6.5882352941176467</v>
      </c>
      <c r="N12" s="65">
        <f>prodnorm24</f>
        <v>0</v>
      </c>
      <c r="O12" s="66">
        <f>dagwerk24</f>
        <v>0</v>
      </c>
      <c r="P12" s="62" t="s">
        <v>38</v>
      </c>
      <c r="Q12" s="67">
        <f>uurtarief24</f>
        <v>0</v>
      </c>
      <c r="R12" s="64" t="e">
        <f t="shared" si="1"/>
        <v>#DIV/0!</v>
      </c>
      <c r="S12" s="64" t="e">
        <f t="shared" si="2"/>
        <v>#DIV/0!</v>
      </c>
      <c r="T12" s="67" t="e">
        <f t="shared" si="3"/>
        <v>#DIV/0!</v>
      </c>
      <c r="U12" s="64" t="e">
        <f t="shared" si="4"/>
        <v>#DIV/0!</v>
      </c>
      <c r="V12" s="68" t="e">
        <f t="shared" si="5"/>
        <v>#DIV/0!</v>
      </c>
    </row>
    <row r="13" spans="1:22" x14ac:dyDescent="0.3">
      <c r="A13" s="61" t="s">
        <v>233</v>
      </c>
      <c r="B13" s="62" t="s">
        <v>234</v>
      </c>
      <c r="C13" s="62" t="s">
        <v>235</v>
      </c>
      <c r="D13" s="62" t="s">
        <v>258</v>
      </c>
      <c r="E13" s="63" t="s">
        <v>259</v>
      </c>
      <c r="F13" s="62" t="s">
        <v>260</v>
      </c>
      <c r="G13" s="62" t="s">
        <v>165</v>
      </c>
      <c r="H13" s="62" t="s">
        <v>13</v>
      </c>
      <c r="I13" s="62" t="s">
        <v>163</v>
      </c>
      <c r="J13" s="62" t="s">
        <v>261</v>
      </c>
      <c r="K13" s="62" t="s">
        <v>234</v>
      </c>
      <c r="L13" s="64">
        <v>26</v>
      </c>
      <c r="M13" s="64">
        <f t="shared" si="0"/>
        <v>10.705882352941176</v>
      </c>
      <c r="N13" s="65">
        <f>prodnorm2</f>
        <v>0</v>
      </c>
      <c r="O13" s="66">
        <f>dagwerk2</f>
        <v>0</v>
      </c>
      <c r="P13" s="62" t="s">
        <v>38</v>
      </c>
      <c r="Q13" s="67">
        <f>uurtarief2</f>
        <v>0</v>
      </c>
      <c r="R13" s="64" t="e">
        <f t="shared" si="1"/>
        <v>#DIV/0!</v>
      </c>
      <c r="S13" s="64" t="e">
        <f t="shared" si="2"/>
        <v>#DIV/0!</v>
      </c>
      <c r="T13" s="67" t="e">
        <f t="shared" si="3"/>
        <v>#DIV/0!</v>
      </c>
      <c r="U13" s="64" t="e">
        <f t="shared" si="4"/>
        <v>#DIV/0!</v>
      </c>
      <c r="V13" s="68" t="e">
        <f t="shared" si="5"/>
        <v>#DIV/0!</v>
      </c>
    </row>
    <row r="14" spans="1:22" x14ac:dyDescent="0.3">
      <c r="A14" s="61" t="s">
        <v>233</v>
      </c>
      <c r="B14" s="62" t="s">
        <v>234</v>
      </c>
      <c r="C14" s="62" t="s">
        <v>235</v>
      </c>
      <c r="D14" s="62" t="s">
        <v>262</v>
      </c>
      <c r="E14" s="63" t="s">
        <v>263</v>
      </c>
      <c r="F14" s="62" t="s">
        <v>252</v>
      </c>
      <c r="G14" s="62" t="s">
        <v>162</v>
      </c>
      <c r="H14" s="62" t="s">
        <v>13</v>
      </c>
      <c r="I14" s="62" t="s">
        <v>163</v>
      </c>
      <c r="J14" s="62" t="s">
        <v>261</v>
      </c>
      <c r="K14" s="62" t="s">
        <v>234</v>
      </c>
      <c r="L14" s="64">
        <v>9</v>
      </c>
      <c r="M14" s="64">
        <f t="shared" si="0"/>
        <v>3.7058823529411762</v>
      </c>
      <c r="N14" s="65">
        <f>prodnorm1</f>
        <v>0</v>
      </c>
      <c r="O14" s="66">
        <f>dagwerk1</f>
        <v>0</v>
      </c>
      <c r="P14" s="62" t="s">
        <v>38</v>
      </c>
      <c r="Q14" s="67">
        <f>uurtarief1</f>
        <v>0</v>
      </c>
      <c r="R14" s="64" t="e">
        <f t="shared" si="1"/>
        <v>#DIV/0!</v>
      </c>
      <c r="S14" s="64" t="e">
        <f t="shared" si="2"/>
        <v>#DIV/0!</v>
      </c>
      <c r="T14" s="67" t="e">
        <f t="shared" si="3"/>
        <v>#DIV/0!</v>
      </c>
      <c r="U14" s="64" t="e">
        <f t="shared" si="4"/>
        <v>#DIV/0!</v>
      </c>
      <c r="V14" s="68" t="e">
        <f t="shared" si="5"/>
        <v>#DIV/0!</v>
      </c>
    </row>
    <row r="15" spans="1:22" x14ac:dyDescent="0.3">
      <c r="A15" s="61" t="s">
        <v>233</v>
      </c>
      <c r="B15" s="62" t="s">
        <v>234</v>
      </c>
      <c r="C15" s="62" t="s">
        <v>235</v>
      </c>
      <c r="D15" s="62" t="s">
        <v>264</v>
      </c>
      <c r="E15" s="63" t="s">
        <v>265</v>
      </c>
      <c r="F15" s="62" t="s">
        <v>238</v>
      </c>
      <c r="G15" s="62" t="s">
        <v>215</v>
      </c>
      <c r="H15" s="62" t="s">
        <v>10</v>
      </c>
      <c r="I15" s="62" t="s">
        <v>163</v>
      </c>
      <c r="J15" s="62" t="s">
        <v>239</v>
      </c>
      <c r="K15" s="62" t="s">
        <v>234</v>
      </c>
      <c r="L15" s="64">
        <v>3</v>
      </c>
      <c r="M15" s="64">
        <f t="shared" si="0"/>
        <v>2.4705882352941178</v>
      </c>
      <c r="N15" s="65">
        <f>prodnorm30</f>
        <v>0</v>
      </c>
      <c r="O15" s="66">
        <f>dagwerk30</f>
        <v>0</v>
      </c>
      <c r="P15" s="62" t="s">
        <v>38</v>
      </c>
      <c r="Q15" s="67">
        <f>uurtarief30</f>
        <v>0</v>
      </c>
      <c r="R15" s="64" t="e">
        <f t="shared" si="1"/>
        <v>#DIV/0!</v>
      </c>
      <c r="S15" s="64" t="e">
        <f t="shared" si="2"/>
        <v>#DIV/0!</v>
      </c>
      <c r="T15" s="67" t="e">
        <f t="shared" si="3"/>
        <v>#DIV/0!</v>
      </c>
      <c r="U15" s="64" t="e">
        <f t="shared" si="4"/>
        <v>#DIV/0!</v>
      </c>
      <c r="V15" s="68" t="e">
        <f t="shared" si="5"/>
        <v>#DIV/0!</v>
      </c>
    </row>
    <row r="16" spans="1:22" x14ac:dyDescent="0.3">
      <c r="A16" s="61" t="s">
        <v>233</v>
      </c>
      <c r="B16" s="62" t="s">
        <v>234</v>
      </c>
      <c r="C16" s="62" t="s">
        <v>235</v>
      </c>
      <c r="D16" s="62" t="s">
        <v>266</v>
      </c>
      <c r="E16" s="63" t="s">
        <v>267</v>
      </c>
      <c r="F16" s="62" t="s">
        <v>245</v>
      </c>
      <c r="G16" s="62" t="s">
        <v>203</v>
      </c>
      <c r="H16" s="62" t="s">
        <v>10</v>
      </c>
      <c r="I16" s="62" t="s">
        <v>163</v>
      </c>
      <c r="J16" s="62" t="s">
        <v>246</v>
      </c>
      <c r="K16" s="62" t="s">
        <v>234</v>
      </c>
      <c r="L16" s="64">
        <v>7</v>
      </c>
      <c r="M16" s="64">
        <f t="shared" si="0"/>
        <v>5.7647058823529411</v>
      </c>
      <c r="N16" s="65">
        <f>prodnorm24</f>
        <v>0</v>
      </c>
      <c r="O16" s="66">
        <f>dagwerk24</f>
        <v>0</v>
      </c>
      <c r="P16" s="62" t="s">
        <v>38</v>
      </c>
      <c r="Q16" s="67">
        <f>uurtarief24</f>
        <v>0</v>
      </c>
      <c r="R16" s="64" t="e">
        <f t="shared" si="1"/>
        <v>#DIV/0!</v>
      </c>
      <c r="S16" s="64" t="e">
        <f t="shared" si="2"/>
        <v>#DIV/0!</v>
      </c>
      <c r="T16" s="67" t="e">
        <f t="shared" si="3"/>
        <v>#DIV/0!</v>
      </c>
      <c r="U16" s="64" t="e">
        <f t="shared" si="4"/>
        <v>#DIV/0!</v>
      </c>
      <c r="V16" s="68" t="e">
        <f t="shared" si="5"/>
        <v>#DIV/0!</v>
      </c>
    </row>
    <row r="17" spans="1:22" ht="28.8" x14ac:dyDescent="0.3">
      <c r="A17" s="61" t="s">
        <v>233</v>
      </c>
      <c r="B17" s="62" t="s">
        <v>234</v>
      </c>
      <c r="C17" s="62" t="s">
        <v>235</v>
      </c>
      <c r="D17" s="62" t="s">
        <v>268</v>
      </c>
      <c r="E17" s="63" t="s">
        <v>269</v>
      </c>
      <c r="F17" s="62" t="s">
        <v>270</v>
      </c>
      <c r="G17" s="62" t="s">
        <v>207</v>
      </c>
      <c r="H17" s="62" t="s">
        <v>10</v>
      </c>
      <c r="I17" s="62" t="s">
        <v>163</v>
      </c>
      <c r="J17" s="62" t="s">
        <v>239</v>
      </c>
      <c r="K17" s="62" t="s">
        <v>234</v>
      </c>
      <c r="L17" s="64">
        <v>59</v>
      </c>
      <c r="M17" s="64">
        <f t="shared" si="0"/>
        <v>48.588235294117645</v>
      </c>
      <c r="N17" s="65">
        <f>prodnorm26</f>
        <v>0</v>
      </c>
      <c r="O17" s="66">
        <f>dagwerk26</f>
        <v>0</v>
      </c>
      <c r="P17" s="62" t="s">
        <v>38</v>
      </c>
      <c r="Q17" s="67">
        <f>uurtarief26</f>
        <v>0</v>
      </c>
      <c r="R17" s="64" t="e">
        <f t="shared" si="1"/>
        <v>#DIV/0!</v>
      </c>
      <c r="S17" s="64" t="e">
        <f t="shared" si="2"/>
        <v>#DIV/0!</v>
      </c>
      <c r="T17" s="67" t="e">
        <f t="shared" si="3"/>
        <v>#DIV/0!</v>
      </c>
      <c r="U17" s="64" t="e">
        <f t="shared" si="4"/>
        <v>#DIV/0!</v>
      </c>
      <c r="V17" s="68" t="e">
        <f t="shared" si="5"/>
        <v>#DIV/0!</v>
      </c>
    </row>
    <row r="18" spans="1:22" x14ac:dyDescent="0.3">
      <c r="A18" s="61" t="s">
        <v>233</v>
      </c>
      <c r="B18" s="62" t="s">
        <v>234</v>
      </c>
      <c r="C18" s="62" t="s">
        <v>235</v>
      </c>
      <c r="D18" s="62" t="s">
        <v>271</v>
      </c>
      <c r="E18" s="63" t="s">
        <v>272</v>
      </c>
      <c r="F18" s="62" t="s">
        <v>260</v>
      </c>
      <c r="G18" s="62" t="s">
        <v>181</v>
      </c>
      <c r="H18" s="62" t="s">
        <v>13</v>
      </c>
      <c r="I18" s="62" t="s">
        <v>163</v>
      </c>
      <c r="J18" s="62" t="s">
        <v>273</v>
      </c>
      <c r="K18" s="62" t="s">
        <v>234</v>
      </c>
      <c r="L18" s="64">
        <v>42</v>
      </c>
      <c r="M18" s="64">
        <f t="shared" si="0"/>
        <v>17.294117647058822</v>
      </c>
      <c r="N18" s="65">
        <f>prodnorm12</f>
        <v>0</v>
      </c>
      <c r="O18" s="66">
        <f>dagwerk12</f>
        <v>0</v>
      </c>
      <c r="P18" s="62" t="s">
        <v>38</v>
      </c>
      <c r="Q18" s="67">
        <f>uurtarief12</f>
        <v>0</v>
      </c>
      <c r="R18" s="64" t="e">
        <f t="shared" si="1"/>
        <v>#DIV/0!</v>
      </c>
      <c r="S18" s="64" t="e">
        <f t="shared" si="2"/>
        <v>#DIV/0!</v>
      </c>
      <c r="T18" s="67" t="e">
        <f t="shared" si="3"/>
        <v>#DIV/0!</v>
      </c>
      <c r="U18" s="64" t="e">
        <f t="shared" si="4"/>
        <v>#DIV/0!</v>
      </c>
      <c r="V18" s="68" t="e">
        <f t="shared" si="5"/>
        <v>#DIV/0!</v>
      </c>
    </row>
    <row r="19" spans="1:22" x14ac:dyDescent="0.3">
      <c r="A19" s="61" t="s">
        <v>233</v>
      </c>
      <c r="B19" s="62" t="s">
        <v>234</v>
      </c>
      <c r="C19" s="62" t="s">
        <v>235</v>
      </c>
      <c r="D19" s="62" t="s">
        <v>274</v>
      </c>
      <c r="E19" s="63" t="s">
        <v>272</v>
      </c>
      <c r="F19" s="62" t="s">
        <v>260</v>
      </c>
      <c r="G19" s="62" t="s">
        <v>181</v>
      </c>
      <c r="H19" s="62" t="s">
        <v>13</v>
      </c>
      <c r="I19" s="62" t="s">
        <v>163</v>
      </c>
      <c r="J19" s="62" t="s">
        <v>273</v>
      </c>
      <c r="K19" s="62" t="s">
        <v>234</v>
      </c>
      <c r="L19" s="64">
        <v>42</v>
      </c>
      <c r="M19" s="64">
        <f t="shared" si="0"/>
        <v>17.294117647058822</v>
      </c>
      <c r="N19" s="65">
        <f>prodnorm12</f>
        <v>0</v>
      </c>
      <c r="O19" s="66">
        <f>dagwerk12</f>
        <v>0</v>
      </c>
      <c r="P19" s="62" t="s">
        <v>38</v>
      </c>
      <c r="Q19" s="67">
        <f>uurtarief12</f>
        <v>0</v>
      </c>
      <c r="R19" s="64" t="e">
        <f t="shared" si="1"/>
        <v>#DIV/0!</v>
      </c>
      <c r="S19" s="64" t="e">
        <f t="shared" si="2"/>
        <v>#DIV/0!</v>
      </c>
      <c r="T19" s="67" t="e">
        <f t="shared" si="3"/>
        <v>#DIV/0!</v>
      </c>
      <c r="U19" s="64" t="e">
        <f t="shared" si="4"/>
        <v>#DIV/0!</v>
      </c>
      <c r="V19" s="68" t="e">
        <f t="shared" si="5"/>
        <v>#DIV/0!</v>
      </c>
    </row>
    <row r="20" spans="1:22" x14ac:dyDescent="0.3">
      <c r="A20" s="61" t="s">
        <v>233</v>
      </c>
      <c r="B20" s="62" t="s">
        <v>234</v>
      </c>
      <c r="C20" s="62" t="s">
        <v>235</v>
      </c>
      <c r="D20" s="62" t="s">
        <v>275</v>
      </c>
      <c r="E20" s="63" t="s">
        <v>272</v>
      </c>
      <c r="F20" s="62" t="s">
        <v>260</v>
      </c>
      <c r="G20" s="62" t="s">
        <v>181</v>
      </c>
      <c r="H20" s="62" t="s">
        <v>13</v>
      </c>
      <c r="I20" s="62" t="s">
        <v>163</v>
      </c>
      <c r="J20" s="62" t="s">
        <v>273</v>
      </c>
      <c r="K20" s="62" t="s">
        <v>234</v>
      </c>
      <c r="L20" s="64">
        <v>42</v>
      </c>
      <c r="M20" s="64">
        <f t="shared" si="0"/>
        <v>17.294117647058822</v>
      </c>
      <c r="N20" s="65">
        <f>prodnorm12</f>
        <v>0</v>
      </c>
      <c r="O20" s="66">
        <f>dagwerk12</f>
        <v>0</v>
      </c>
      <c r="P20" s="62" t="s">
        <v>38</v>
      </c>
      <c r="Q20" s="67">
        <f>uurtarief12</f>
        <v>0</v>
      </c>
      <c r="R20" s="64" t="e">
        <f t="shared" si="1"/>
        <v>#DIV/0!</v>
      </c>
      <c r="S20" s="64" t="e">
        <f t="shared" si="2"/>
        <v>#DIV/0!</v>
      </c>
      <c r="T20" s="67" t="e">
        <f t="shared" si="3"/>
        <v>#DIV/0!</v>
      </c>
      <c r="U20" s="64" t="e">
        <f t="shared" si="4"/>
        <v>#DIV/0!</v>
      </c>
      <c r="V20" s="68" t="e">
        <f t="shared" si="5"/>
        <v>#DIV/0!</v>
      </c>
    </row>
    <row r="21" spans="1:22" x14ac:dyDescent="0.3">
      <c r="A21" s="61" t="s">
        <v>233</v>
      </c>
      <c r="B21" s="62" t="s">
        <v>234</v>
      </c>
      <c r="C21" s="62" t="s">
        <v>235</v>
      </c>
      <c r="D21" s="62" t="s">
        <v>276</v>
      </c>
      <c r="E21" s="63" t="s">
        <v>277</v>
      </c>
      <c r="F21" s="62" t="s">
        <v>252</v>
      </c>
      <c r="G21" s="62" t="s">
        <v>207</v>
      </c>
      <c r="H21" s="62" t="s">
        <v>10</v>
      </c>
      <c r="I21" s="62" t="s">
        <v>163</v>
      </c>
      <c r="J21" s="62" t="s">
        <v>239</v>
      </c>
      <c r="K21" s="62" t="s">
        <v>234</v>
      </c>
      <c r="L21" s="64">
        <v>55</v>
      </c>
      <c r="M21" s="64">
        <f t="shared" si="0"/>
        <v>45.294117647058819</v>
      </c>
      <c r="N21" s="65">
        <f>prodnorm26</f>
        <v>0</v>
      </c>
      <c r="O21" s="66">
        <f>dagwerk26</f>
        <v>0</v>
      </c>
      <c r="P21" s="62" t="s">
        <v>38</v>
      </c>
      <c r="Q21" s="67">
        <f>uurtarief26</f>
        <v>0</v>
      </c>
      <c r="R21" s="64" t="e">
        <f t="shared" si="1"/>
        <v>#DIV/0!</v>
      </c>
      <c r="S21" s="64" t="e">
        <f t="shared" si="2"/>
        <v>#DIV/0!</v>
      </c>
      <c r="T21" s="67" t="e">
        <f t="shared" si="3"/>
        <v>#DIV/0!</v>
      </c>
      <c r="U21" s="64" t="e">
        <f t="shared" si="4"/>
        <v>#DIV/0!</v>
      </c>
      <c r="V21" s="68" t="e">
        <f t="shared" si="5"/>
        <v>#DIV/0!</v>
      </c>
    </row>
    <row r="22" spans="1:22" x14ac:dyDescent="0.3">
      <c r="A22" s="61" t="s">
        <v>233</v>
      </c>
      <c r="B22" s="62" t="s">
        <v>234</v>
      </c>
      <c r="C22" s="62" t="s">
        <v>235</v>
      </c>
      <c r="D22" s="62" t="s">
        <v>278</v>
      </c>
      <c r="E22" s="63" t="s">
        <v>279</v>
      </c>
      <c r="F22" s="62" t="s">
        <v>252</v>
      </c>
      <c r="G22" s="62" t="s">
        <v>195</v>
      </c>
      <c r="H22" s="62" t="s">
        <v>13</v>
      </c>
      <c r="I22" s="62" t="s">
        <v>163</v>
      </c>
      <c r="J22" s="62" t="s">
        <v>273</v>
      </c>
      <c r="K22" s="62" t="s">
        <v>234</v>
      </c>
      <c r="L22" s="64">
        <v>42</v>
      </c>
      <c r="M22" s="64">
        <f t="shared" si="0"/>
        <v>17.294117647058822</v>
      </c>
      <c r="N22" s="65">
        <f>prodnorm20</f>
        <v>0</v>
      </c>
      <c r="O22" s="66">
        <f>dagwerk20</f>
        <v>0</v>
      </c>
      <c r="P22" s="62" t="s">
        <v>38</v>
      </c>
      <c r="Q22" s="67">
        <f>uurtarief20</f>
        <v>0</v>
      </c>
      <c r="R22" s="64" t="e">
        <f t="shared" si="1"/>
        <v>#DIV/0!</v>
      </c>
      <c r="S22" s="64" t="e">
        <f t="shared" si="2"/>
        <v>#DIV/0!</v>
      </c>
      <c r="T22" s="67" t="e">
        <f t="shared" si="3"/>
        <v>#DIV/0!</v>
      </c>
      <c r="U22" s="64" t="e">
        <f t="shared" si="4"/>
        <v>#DIV/0!</v>
      </c>
      <c r="V22" s="68" t="e">
        <f t="shared" si="5"/>
        <v>#DIV/0!</v>
      </c>
    </row>
    <row r="23" spans="1:22" x14ac:dyDescent="0.3">
      <c r="A23" s="61" t="s">
        <v>233</v>
      </c>
      <c r="B23" s="62" t="s">
        <v>234</v>
      </c>
      <c r="C23" s="62" t="s">
        <v>235</v>
      </c>
      <c r="D23" s="62" t="s">
        <v>280</v>
      </c>
      <c r="E23" s="63" t="s">
        <v>279</v>
      </c>
      <c r="F23" s="62" t="s">
        <v>252</v>
      </c>
      <c r="G23" s="62" t="s">
        <v>195</v>
      </c>
      <c r="H23" s="62" t="s">
        <v>13</v>
      </c>
      <c r="I23" s="62" t="s">
        <v>163</v>
      </c>
      <c r="J23" s="62" t="s">
        <v>273</v>
      </c>
      <c r="K23" s="62" t="s">
        <v>234</v>
      </c>
      <c r="L23" s="64">
        <v>48</v>
      </c>
      <c r="M23" s="64">
        <f t="shared" si="0"/>
        <v>19.764705882352942</v>
      </c>
      <c r="N23" s="65">
        <f>prodnorm20</f>
        <v>0</v>
      </c>
      <c r="O23" s="66">
        <f>dagwerk20</f>
        <v>0</v>
      </c>
      <c r="P23" s="62" t="s">
        <v>38</v>
      </c>
      <c r="Q23" s="67">
        <f>uurtarief20</f>
        <v>0</v>
      </c>
      <c r="R23" s="64" t="e">
        <f t="shared" si="1"/>
        <v>#DIV/0!</v>
      </c>
      <c r="S23" s="64" t="e">
        <f t="shared" si="2"/>
        <v>#DIV/0!</v>
      </c>
      <c r="T23" s="67" t="e">
        <f t="shared" si="3"/>
        <v>#DIV/0!</v>
      </c>
      <c r="U23" s="64" t="e">
        <f t="shared" si="4"/>
        <v>#DIV/0!</v>
      </c>
      <c r="V23" s="68" t="e">
        <f t="shared" si="5"/>
        <v>#DIV/0!</v>
      </c>
    </row>
    <row r="24" spans="1:22" x14ac:dyDescent="0.3">
      <c r="A24" s="61" t="s">
        <v>233</v>
      </c>
      <c r="B24" s="62" t="s">
        <v>234</v>
      </c>
      <c r="C24" s="62" t="s">
        <v>235</v>
      </c>
      <c r="D24" s="62" t="s">
        <v>281</v>
      </c>
      <c r="E24" s="63" t="s">
        <v>282</v>
      </c>
      <c r="F24" s="62" t="s">
        <v>252</v>
      </c>
      <c r="G24" s="62" t="s">
        <v>195</v>
      </c>
      <c r="H24" s="62" t="s">
        <v>13</v>
      </c>
      <c r="I24" s="62" t="s">
        <v>163</v>
      </c>
      <c r="J24" s="62" t="s">
        <v>273</v>
      </c>
      <c r="K24" s="62" t="s">
        <v>234</v>
      </c>
      <c r="L24" s="64">
        <v>80</v>
      </c>
      <c r="M24" s="64">
        <f t="shared" si="0"/>
        <v>32.941176470588232</v>
      </c>
      <c r="N24" s="65">
        <f>prodnorm20</f>
        <v>0</v>
      </c>
      <c r="O24" s="66">
        <f>dagwerk20</f>
        <v>0</v>
      </c>
      <c r="P24" s="62" t="s">
        <v>38</v>
      </c>
      <c r="Q24" s="67">
        <f>uurtarief20</f>
        <v>0</v>
      </c>
      <c r="R24" s="64" t="e">
        <f t="shared" si="1"/>
        <v>#DIV/0!</v>
      </c>
      <c r="S24" s="64" t="e">
        <f t="shared" si="2"/>
        <v>#DIV/0!</v>
      </c>
      <c r="T24" s="67" t="e">
        <f t="shared" si="3"/>
        <v>#DIV/0!</v>
      </c>
      <c r="U24" s="64" t="e">
        <f t="shared" si="4"/>
        <v>#DIV/0!</v>
      </c>
      <c r="V24" s="68" t="e">
        <f t="shared" si="5"/>
        <v>#DIV/0!</v>
      </c>
    </row>
    <row r="25" spans="1:22" ht="28.8" x14ac:dyDescent="0.3">
      <c r="A25" s="61" t="s">
        <v>233</v>
      </c>
      <c r="B25" s="62" t="s">
        <v>234</v>
      </c>
      <c r="C25" s="62" t="s">
        <v>235</v>
      </c>
      <c r="D25" s="62" t="s">
        <v>283</v>
      </c>
      <c r="E25" s="63" t="s">
        <v>284</v>
      </c>
      <c r="F25" s="62" t="s">
        <v>252</v>
      </c>
      <c r="G25" s="62" t="s">
        <v>213</v>
      </c>
      <c r="H25" s="62" t="s">
        <v>10</v>
      </c>
      <c r="I25" s="62" t="s">
        <v>163</v>
      </c>
      <c r="J25" s="62" t="s">
        <v>239</v>
      </c>
      <c r="K25" s="62" t="s">
        <v>234</v>
      </c>
      <c r="L25" s="64">
        <v>30</v>
      </c>
      <c r="M25" s="64">
        <f t="shared" si="0"/>
        <v>24.705882352941174</v>
      </c>
      <c r="N25" s="65">
        <f>prodnorm29</f>
        <v>0</v>
      </c>
      <c r="O25" s="66">
        <f>dagwerk29</f>
        <v>0</v>
      </c>
      <c r="P25" s="62" t="s">
        <v>38</v>
      </c>
      <c r="Q25" s="67">
        <f>uurtarief29</f>
        <v>0</v>
      </c>
      <c r="R25" s="64" t="e">
        <f t="shared" si="1"/>
        <v>#DIV/0!</v>
      </c>
      <c r="S25" s="64" t="e">
        <f t="shared" si="2"/>
        <v>#DIV/0!</v>
      </c>
      <c r="T25" s="67" t="e">
        <f t="shared" si="3"/>
        <v>#DIV/0!</v>
      </c>
      <c r="U25" s="64" t="e">
        <f t="shared" si="4"/>
        <v>#DIV/0!</v>
      </c>
      <c r="V25" s="68" t="e">
        <f t="shared" si="5"/>
        <v>#DIV/0!</v>
      </c>
    </row>
    <row r="26" spans="1:22" x14ac:dyDescent="0.3">
      <c r="A26" s="61" t="s">
        <v>233</v>
      </c>
      <c r="B26" s="62" t="s">
        <v>234</v>
      </c>
      <c r="C26" s="62" t="s">
        <v>235</v>
      </c>
      <c r="D26" s="62" t="s">
        <v>285</v>
      </c>
      <c r="E26" s="63" t="s">
        <v>286</v>
      </c>
      <c r="F26" s="62" t="s">
        <v>252</v>
      </c>
      <c r="G26" s="62" t="s">
        <v>193</v>
      </c>
      <c r="H26" s="62" t="s">
        <v>13</v>
      </c>
      <c r="I26" s="62" t="s">
        <v>163</v>
      </c>
      <c r="J26" s="62" t="s">
        <v>273</v>
      </c>
      <c r="K26" s="62" t="s">
        <v>234</v>
      </c>
      <c r="L26" s="64">
        <v>71</v>
      </c>
      <c r="M26" s="64">
        <f t="shared" si="0"/>
        <v>29.235294117647058</v>
      </c>
      <c r="N26" s="65">
        <f>prodnorm18</f>
        <v>0</v>
      </c>
      <c r="O26" s="66">
        <f>dagwerk18</f>
        <v>0</v>
      </c>
      <c r="P26" s="62" t="s">
        <v>38</v>
      </c>
      <c r="Q26" s="67">
        <f>uurtarief18</f>
        <v>0</v>
      </c>
      <c r="R26" s="64" t="e">
        <f t="shared" si="1"/>
        <v>#DIV/0!</v>
      </c>
      <c r="S26" s="64" t="e">
        <f t="shared" si="2"/>
        <v>#DIV/0!</v>
      </c>
      <c r="T26" s="67" t="e">
        <f t="shared" si="3"/>
        <v>#DIV/0!</v>
      </c>
      <c r="U26" s="64" t="e">
        <f t="shared" si="4"/>
        <v>#DIV/0!</v>
      </c>
      <c r="V26" s="68" t="e">
        <f t="shared" si="5"/>
        <v>#DIV/0!</v>
      </c>
    </row>
    <row r="27" spans="1:22" x14ac:dyDescent="0.3">
      <c r="A27" s="61" t="s">
        <v>233</v>
      </c>
      <c r="B27" s="62" t="s">
        <v>234</v>
      </c>
      <c r="C27" s="62" t="s">
        <v>235</v>
      </c>
      <c r="D27" s="62" t="s">
        <v>287</v>
      </c>
      <c r="E27" s="63" t="s">
        <v>288</v>
      </c>
      <c r="F27" s="62" t="s">
        <v>252</v>
      </c>
      <c r="G27" s="62" t="s">
        <v>162</v>
      </c>
      <c r="H27" s="62" t="s">
        <v>13</v>
      </c>
      <c r="I27" s="62" t="s">
        <v>163</v>
      </c>
      <c r="J27" s="62" t="s">
        <v>261</v>
      </c>
      <c r="K27" s="62" t="s">
        <v>234</v>
      </c>
      <c r="L27" s="64">
        <v>12</v>
      </c>
      <c r="M27" s="64">
        <f t="shared" si="0"/>
        <v>4.9411764705882355</v>
      </c>
      <c r="N27" s="65">
        <f>prodnorm1</f>
        <v>0</v>
      </c>
      <c r="O27" s="66">
        <f>dagwerk1</f>
        <v>0</v>
      </c>
      <c r="P27" s="62" t="s">
        <v>38</v>
      </c>
      <c r="Q27" s="67">
        <f>uurtarief1</f>
        <v>0</v>
      </c>
      <c r="R27" s="64" t="e">
        <f t="shared" si="1"/>
        <v>#DIV/0!</v>
      </c>
      <c r="S27" s="64" t="e">
        <f t="shared" si="2"/>
        <v>#DIV/0!</v>
      </c>
      <c r="T27" s="67" t="e">
        <f t="shared" si="3"/>
        <v>#DIV/0!</v>
      </c>
      <c r="U27" s="64" t="e">
        <f t="shared" si="4"/>
        <v>#DIV/0!</v>
      </c>
      <c r="V27" s="68" t="e">
        <f t="shared" si="5"/>
        <v>#DIV/0!</v>
      </c>
    </row>
    <row r="28" spans="1:22" x14ac:dyDescent="0.3">
      <c r="A28" s="61" t="s">
        <v>233</v>
      </c>
      <c r="B28" s="62" t="s">
        <v>234</v>
      </c>
      <c r="C28" s="62" t="s">
        <v>235</v>
      </c>
      <c r="D28" s="62" t="s">
        <v>289</v>
      </c>
      <c r="E28" s="63" t="s">
        <v>286</v>
      </c>
      <c r="F28" s="62" t="s">
        <v>252</v>
      </c>
      <c r="G28" s="62" t="s">
        <v>193</v>
      </c>
      <c r="H28" s="62" t="s">
        <v>10</v>
      </c>
      <c r="I28" s="62" t="s">
        <v>163</v>
      </c>
      <c r="J28" s="62" t="s">
        <v>273</v>
      </c>
      <c r="K28" s="62" t="s">
        <v>234</v>
      </c>
      <c r="L28" s="64">
        <v>100</v>
      </c>
      <c r="M28" s="64">
        <f t="shared" si="0"/>
        <v>82.35294117647058</v>
      </c>
      <c r="N28" s="65">
        <f>prodnorm19</f>
        <v>0</v>
      </c>
      <c r="O28" s="66">
        <f>dagwerk19</f>
        <v>0</v>
      </c>
      <c r="P28" s="62" t="s">
        <v>38</v>
      </c>
      <c r="Q28" s="67">
        <f>uurtarief19</f>
        <v>0</v>
      </c>
      <c r="R28" s="64" t="e">
        <f t="shared" si="1"/>
        <v>#DIV/0!</v>
      </c>
      <c r="S28" s="64" t="e">
        <f t="shared" si="2"/>
        <v>#DIV/0!</v>
      </c>
      <c r="T28" s="67" t="e">
        <f t="shared" si="3"/>
        <v>#DIV/0!</v>
      </c>
      <c r="U28" s="64" t="e">
        <f t="shared" si="4"/>
        <v>#DIV/0!</v>
      </c>
      <c r="V28" s="68" t="e">
        <f t="shared" si="5"/>
        <v>#DIV/0!</v>
      </c>
    </row>
    <row r="29" spans="1:22" x14ac:dyDescent="0.3">
      <c r="A29" s="61" t="s">
        <v>233</v>
      </c>
      <c r="B29" s="62" t="s">
        <v>234</v>
      </c>
      <c r="C29" s="62" t="s">
        <v>235</v>
      </c>
      <c r="D29" s="62" t="s">
        <v>290</v>
      </c>
      <c r="E29" s="63" t="s">
        <v>288</v>
      </c>
      <c r="F29" s="62" t="s">
        <v>252</v>
      </c>
      <c r="G29" s="62" t="s">
        <v>162</v>
      </c>
      <c r="H29" s="62" t="s">
        <v>13</v>
      </c>
      <c r="I29" s="62" t="s">
        <v>163</v>
      </c>
      <c r="J29" s="62" t="s">
        <v>261</v>
      </c>
      <c r="K29" s="62" t="s">
        <v>234</v>
      </c>
      <c r="L29" s="64">
        <v>12</v>
      </c>
      <c r="M29" s="64">
        <f t="shared" si="0"/>
        <v>4.9411764705882355</v>
      </c>
      <c r="N29" s="65">
        <f>prodnorm1</f>
        <v>0</v>
      </c>
      <c r="O29" s="66">
        <f>dagwerk1</f>
        <v>0</v>
      </c>
      <c r="P29" s="62" t="s">
        <v>38</v>
      </c>
      <c r="Q29" s="67">
        <f>uurtarief1</f>
        <v>0</v>
      </c>
      <c r="R29" s="64" t="e">
        <f t="shared" si="1"/>
        <v>#DIV/0!</v>
      </c>
      <c r="S29" s="64" t="e">
        <f t="shared" si="2"/>
        <v>#DIV/0!</v>
      </c>
      <c r="T29" s="67" t="e">
        <f t="shared" si="3"/>
        <v>#DIV/0!</v>
      </c>
      <c r="U29" s="64" t="e">
        <f t="shared" si="4"/>
        <v>#DIV/0!</v>
      </c>
      <c r="V29" s="68" t="e">
        <f t="shared" si="5"/>
        <v>#DIV/0!</v>
      </c>
    </row>
    <row r="30" spans="1:22" ht="28.8" x14ac:dyDescent="0.3">
      <c r="A30" s="61" t="s">
        <v>233</v>
      </c>
      <c r="B30" s="62" t="s">
        <v>234</v>
      </c>
      <c r="C30" s="62" t="s">
        <v>235</v>
      </c>
      <c r="D30" s="62" t="s">
        <v>291</v>
      </c>
      <c r="E30" s="63" t="s">
        <v>292</v>
      </c>
      <c r="F30" s="62" t="s">
        <v>252</v>
      </c>
      <c r="G30" s="62" t="s">
        <v>162</v>
      </c>
      <c r="H30" s="62" t="s">
        <v>13</v>
      </c>
      <c r="I30" s="62" t="s">
        <v>163</v>
      </c>
      <c r="J30" s="62" t="s">
        <v>261</v>
      </c>
      <c r="K30" s="62" t="s">
        <v>234</v>
      </c>
      <c r="L30" s="64">
        <v>30</v>
      </c>
      <c r="M30" s="64">
        <f t="shared" si="0"/>
        <v>12.352941176470587</v>
      </c>
      <c r="N30" s="65">
        <f>prodnorm1</f>
        <v>0</v>
      </c>
      <c r="O30" s="66">
        <f>dagwerk1</f>
        <v>0</v>
      </c>
      <c r="P30" s="62" t="s">
        <v>38</v>
      </c>
      <c r="Q30" s="67">
        <f>uurtarief1</f>
        <v>0</v>
      </c>
      <c r="R30" s="64" t="e">
        <f t="shared" si="1"/>
        <v>#DIV/0!</v>
      </c>
      <c r="S30" s="64" t="e">
        <f t="shared" si="2"/>
        <v>#DIV/0!</v>
      </c>
      <c r="T30" s="67" t="e">
        <f t="shared" si="3"/>
        <v>#DIV/0!</v>
      </c>
      <c r="U30" s="64" t="e">
        <f t="shared" si="4"/>
        <v>#DIV/0!</v>
      </c>
      <c r="V30" s="68" t="e">
        <f t="shared" si="5"/>
        <v>#DIV/0!</v>
      </c>
    </row>
    <row r="31" spans="1:22" x14ac:dyDescent="0.3">
      <c r="A31" s="61" t="s">
        <v>233</v>
      </c>
      <c r="B31" s="62" t="s">
        <v>234</v>
      </c>
      <c r="C31" s="62" t="s">
        <v>235</v>
      </c>
      <c r="D31" s="62" t="s">
        <v>293</v>
      </c>
      <c r="E31" s="63" t="s">
        <v>294</v>
      </c>
      <c r="F31" s="62" t="s">
        <v>252</v>
      </c>
      <c r="G31" s="62" t="s">
        <v>162</v>
      </c>
      <c r="H31" s="62" t="s">
        <v>13</v>
      </c>
      <c r="I31" s="62" t="s">
        <v>163</v>
      </c>
      <c r="J31" s="62" t="s">
        <v>261</v>
      </c>
      <c r="K31" s="62" t="s">
        <v>234</v>
      </c>
      <c r="L31" s="64">
        <v>17</v>
      </c>
      <c r="M31" s="64">
        <f t="shared" si="0"/>
        <v>7</v>
      </c>
      <c r="N31" s="65">
        <f>prodnorm1</f>
        <v>0</v>
      </c>
      <c r="O31" s="66">
        <f>dagwerk1</f>
        <v>0</v>
      </c>
      <c r="P31" s="62" t="s">
        <v>38</v>
      </c>
      <c r="Q31" s="67">
        <f>uurtarief1</f>
        <v>0</v>
      </c>
      <c r="R31" s="64" t="e">
        <f t="shared" si="1"/>
        <v>#DIV/0!</v>
      </c>
      <c r="S31" s="64" t="e">
        <f t="shared" si="2"/>
        <v>#DIV/0!</v>
      </c>
      <c r="T31" s="67" t="e">
        <f t="shared" si="3"/>
        <v>#DIV/0!</v>
      </c>
      <c r="U31" s="64" t="e">
        <f t="shared" si="4"/>
        <v>#DIV/0!</v>
      </c>
      <c r="V31" s="68" t="e">
        <f t="shared" si="5"/>
        <v>#DIV/0!</v>
      </c>
    </row>
    <row r="32" spans="1:22" x14ac:dyDescent="0.3">
      <c r="A32" s="61" t="s">
        <v>233</v>
      </c>
      <c r="B32" s="62" t="s">
        <v>234</v>
      </c>
      <c r="C32" s="62" t="s">
        <v>235</v>
      </c>
      <c r="D32" s="62" t="s">
        <v>295</v>
      </c>
      <c r="E32" s="63" t="s">
        <v>296</v>
      </c>
      <c r="F32" s="62" t="s">
        <v>252</v>
      </c>
      <c r="G32" s="62" t="s">
        <v>162</v>
      </c>
      <c r="H32" s="62" t="s">
        <v>13</v>
      </c>
      <c r="I32" s="62" t="s">
        <v>163</v>
      </c>
      <c r="J32" s="62" t="s">
        <v>261</v>
      </c>
      <c r="K32" s="62" t="s">
        <v>234</v>
      </c>
      <c r="L32" s="64">
        <v>28</v>
      </c>
      <c r="M32" s="64">
        <f t="shared" si="0"/>
        <v>11.529411764705882</v>
      </c>
      <c r="N32" s="65">
        <f>prodnorm1</f>
        <v>0</v>
      </c>
      <c r="O32" s="66">
        <f>dagwerk1</f>
        <v>0</v>
      </c>
      <c r="P32" s="62" t="s">
        <v>38</v>
      </c>
      <c r="Q32" s="67">
        <f>uurtarief1</f>
        <v>0</v>
      </c>
      <c r="R32" s="64" t="e">
        <f t="shared" si="1"/>
        <v>#DIV/0!</v>
      </c>
      <c r="S32" s="64" t="e">
        <f t="shared" si="2"/>
        <v>#DIV/0!</v>
      </c>
      <c r="T32" s="67" t="e">
        <f t="shared" si="3"/>
        <v>#DIV/0!</v>
      </c>
      <c r="U32" s="64" t="e">
        <f t="shared" si="4"/>
        <v>#DIV/0!</v>
      </c>
      <c r="V32" s="68" t="e">
        <f t="shared" si="5"/>
        <v>#DIV/0!</v>
      </c>
    </row>
    <row r="33" spans="1:22" x14ac:dyDescent="0.3">
      <c r="A33" s="61" t="s">
        <v>233</v>
      </c>
      <c r="B33" s="62" t="s">
        <v>234</v>
      </c>
      <c r="C33" s="62" t="s">
        <v>235</v>
      </c>
      <c r="D33" s="62" t="s">
        <v>297</v>
      </c>
      <c r="E33" s="63" t="s">
        <v>298</v>
      </c>
      <c r="F33" s="62" t="s">
        <v>252</v>
      </c>
      <c r="G33" s="62" t="s">
        <v>162</v>
      </c>
      <c r="H33" s="62" t="s">
        <v>13</v>
      </c>
      <c r="I33" s="62" t="s">
        <v>163</v>
      </c>
      <c r="J33" s="62" t="s">
        <v>261</v>
      </c>
      <c r="K33" s="62" t="s">
        <v>234</v>
      </c>
      <c r="L33" s="64">
        <v>16</v>
      </c>
      <c r="M33" s="64">
        <f t="shared" si="0"/>
        <v>6.5882352941176467</v>
      </c>
      <c r="N33" s="65">
        <f>prodnorm1</f>
        <v>0</v>
      </c>
      <c r="O33" s="66">
        <f>dagwerk1</f>
        <v>0</v>
      </c>
      <c r="P33" s="62" t="s">
        <v>38</v>
      </c>
      <c r="Q33" s="67">
        <f>uurtarief1</f>
        <v>0</v>
      </c>
      <c r="R33" s="64" t="e">
        <f t="shared" si="1"/>
        <v>#DIV/0!</v>
      </c>
      <c r="S33" s="64" t="e">
        <f t="shared" si="2"/>
        <v>#DIV/0!</v>
      </c>
      <c r="T33" s="67" t="e">
        <f t="shared" si="3"/>
        <v>#DIV/0!</v>
      </c>
      <c r="U33" s="64" t="e">
        <f t="shared" si="4"/>
        <v>#DIV/0!</v>
      </c>
      <c r="V33" s="68" t="e">
        <f t="shared" si="5"/>
        <v>#DIV/0!</v>
      </c>
    </row>
    <row r="34" spans="1:22" x14ac:dyDescent="0.3">
      <c r="A34" s="61" t="s">
        <v>233</v>
      </c>
      <c r="B34" s="62" t="s">
        <v>234</v>
      </c>
      <c r="C34" s="62" t="s">
        <v>235</v>
      </c>
      <c r="D34" s="62" t="s">
        <v>299</v>
      </c>
      <c r="E34" s="63" t="s">
        <v>300</v>
      </c>
      <c r="F34" s="62" t="s">
        <v>252</v>
      </c>
      <c r="G34" s="62" t="s">
        <v>207</v>
      </c>
      <c r="H34" s="62" t="s">
        <v>10</v>
      </c>
      <c r="I34" s="62" t="s">
        <v>163</v>
      </c>
      <c r="J34" s="62" t="s">
        <v>239</v>
      </c>
      <c r="K34" s="62" t="s">
        <v>234</v>
      </c>
      <c r="L34" s="64">
        <v>10</v>
      </c>
      <c r="M34" s="64">
        <f t="shared" si="0"/>
        <v>8.235294117647058</v>
      </c>
      <c r="N34" s="65">
        <f>prodnorm26</f>
        <v>0</v>
      </c>
      <c r="O34" s="66">
        <f>dagwerk26</f>
        <v>0</v>
      </c>
      <c r="P34" s="62" t="s">
        <v>38</v>
      </c>
      <c r="Q34" s="67">
        <f>uurtarief26</f>
        <v>0</v>
      </c>
      <c r="R34" s="64" t="e">
        <f t="shared" si="1"/>
        <v>#DIV/0!</v>
      </c>
      <c r="S34" s="64" t="e">
        <f t="shared" si="2"/>
        <v>#DIV/0!</v>
      </c>
      <c r="T34" s="67" t="e">
        <f t="shared" si="3"/>
        <v>#DIV/0!</v>
      </c>
      <c r="U34" s="64" t="e">
        <f t="shared" si="4"/>
        <v>#DIV/0!</v>
      </c>
      <c r="V34" s="68" t="e">
        <f t="shared" si="5"/>
        <v>#DIV/0!</v>
      </c>
    </row>
    <row r="35" spans="1:22" x14ac:dyDescent="0.3">
      <c r="A35" s="61" t="s">
        <v>233</v>
      </c>
      <c r="B35" s="62" t="s">
        <v>234</v>
      </c>
      <c r="C35" s="62" t="s">
        <v>235</v>
      </c>
      <c r="D35" s="62" t="s">
        <v>301</v>
      </c>
      <c r="E35" s="63" t="s">
        <v>302</v>
      </c>
      <c r="F35" s="62" t="s">
        <v>252</v>
      </c>
      <c r="G35" s="62" t="s">
        <v>207</v>
      </c>
      <c r="H35" s="62" t="s">
        <v>10</v>
      </c>
      <c r="I35" s="62" t="s">
        <v>163</v>
      </c>
      <c r="J35" s="62" t="s">
        <v>239</v>
      </c>
      <c r="K35" s="62" t="s">
        <v>234</v>
      </c>
      <c r="L35" s="64">
        <v>25</v>
      </c>
      <c r="M35" s="64">
        <f t="shared" si="0"/>
        <v>20.588235294117645</v>
      </c>
      <c r="N35" s="65">
        <f>prodnorm26</f>
        <v>0</v>
      </c>
      <c r="O35" s="66">
        <f>dagwerk26</f>
        <v>0</v>
      </c>
      <c r="P35" s="62" t="s">
        <v>38</v>
      </c>
      <c r="Q35" s="67">
        <f>uurtarief26</f>
        <v>0</v>
      </c>
      <c r="R35" s="64" t="e">
        <f t="shared" si="1"/>
        <v>#DIV/0!</v>
      </c>
      <c r="S35" s="64" t="e">
        <f t="shared" si="2"/>
        <v>#DIV/0!</v>
      </c>
      <c r="T35" s="67" t="e">
        <f t="shared" si="3"/>
        <v>#DIV/0!</v>
      </c>
      <c r="U35" s="64" t="e">
        <f t="shared" si="4"/>
        <v>#DIV/0!</v>
      </c>
      <c r="V35" s="68" t="e">
        <f t="shared" si="5"/>
        <v>#DIV/0!</v>
      </c>
    </row>
    <row r="36" spans="1:22" ht="28.8" x14ac:dyDescent="0.3">
      <c r="A36" s="61" t="s">
        <v>233</v>
      </c>
      <c r="B36" s="62" t="s">
        <v>234</v>
      </c>
      <c r="C36" s="62" t="s">
        <v>235</v>
      </c>
      <c r="D36" s="62" t="s">
        <v>303</v>
      </c>
      <c r="E36" s="63" t="s">
        <v>304</v>
      </c>
      <c r="F36" s="62" t="s">
        <v>252</v>
      </c>
      <c r="G36" s="62" t="s">
        <v>195</v>
      </c>
      <c r="H36" s="62" t="s">
        <v>13</v>
      </c>
      <c r="I36" s="62" t="s">
        <v>163</v>
      </c>
      <c r="J36" s="62" t="s">
        <v>273</v>
      </c>
      <c r="K36" s="62" t="s">
        <v>234</v>
      </c>
      <c r="L36" s="64">
        <v>51</v>
      </c>
      <c r="M36" s="64">
        <f t="shared" si="0"/>
        <v>21</v>
      </c>
      <c r="N36" s="65">
        <f>prodnorm20</f>
        <v>0</v>
      </c>
      <c r="O36" s="66">
        <f>dagwerk20</f>
        <v>0</v>
      </c>
      <c r="P36" s="62" t="s">
        <v>38</v>
      </c>
      <c r="Q36" s="67">
        <f>uurtarief20</f>
        <v>0</v>
      </c>
      <c r="R36" s="64" t="e">
        <f t="shared" si="1"/>
        <v>#DIV/0!</v>
      </c>
      <c r="S36" s="64" t="e">
        <f t="shared" si="2"/>
        <v>#DIV/0!</v>
      </c>
      <c r="T36" s="67" t="e">
        <f t="shared" si="3"/>
        <v>#DIV/0!</v>
      </c>
      <c r="U36" s="64" t="e">
        <f t="shared" si="4"/>
        <v>#DIV/0!</v>
      </c>
      <c r="V36" s="68" t="e">
        <f t="shared" si="5"/>
        <v>#DIV/0!</v>
      </c>
    </row>
    <row r="37" spans="1:22" ht="28.8" x14ac:dyDescent="0.3">
      <c r="A37" s="61" t="s">
        <v>233</v>
      </c>
      <c r="B37" s="62" t="s">
        <v>234</v>
      </c>
      <c r="C37" s="62" t="s">
        <v>235</v>
      </c>
      <c r="D37" s="62" t="s">
        <v>305</v>
      </c>
      <c r="E37" s="63" t="s">
        <v>306</v>
      </c>
      <c r="F37" s="62" t="s">
        <v>252</v>
      </c>
      <c r="G37" s="62" t="s">
        <v>195</v>
      </c>
      <c r="H37" s="62" t="s">
        <v>13</v>
      </c>
      <c r="I37" s="62" t="s">
        <v>163</v>
      </c>
      <c r="J37" s="62" t="s">
        <v>273</v>
      </c>
      <c r="K37" s="62" t="s">
        <v>234</v>
      </c>
      <c r="L37" s="64">
        <v>17</v>
      </c>
      <c r="M37" s="64">
        <f t="shared" ref="M37:M68" si="6">L37*VLOOKUP(H37,dagsoorttabel1,2,FALSE)</f>
        <v>7</v>
      </c>
      <c r="N37" s="65">
        <f>prodnorm20</f>
        <v>0</v>
      </c>
      <c r="O37" s="66">
        <f>dagwerk20</f>
        <v>0</v>
      </c>
      <c r="P37" s="62" t="s">
        <v>38</v>
      </c>
      <c r="Q37" s="67">
        <f>uurtarief20</f>
        <v>0</v>
      </c>
      <c r="R37" s="64" t="e">
        <f t="shared" ref="R37:R68" si="7">IF(ISBLANK(N37),0,M37/ROUND(N37,4))</f>
        <v>#DIV/0!</v>
      </c>
      <c r="S37" s="64" t="e">
        <f t="shared" ref="S37:S68" si="8">IF(ISBLANK(N37),0,R37*ROUND(O37,2))</f>
        <v>#DIV/0!</v>
      </c>
      <c r="T37" s="67" t="e">
        <f t="shared" ref="T37:T68" si="9">ROUND(Q37,2)*R37</f>
        <v>#DIV/0!</v>
      </c>
      <c r="U37" s="64" t="e">
        <f t="shared" ref="U37:U68" si="10">R37*dagenperjaar1</f>
        <v>#DIV/0!</v>
      </c>
      <c r="V37" s="68" t="e">
        <f t="shared" ref="V37:V68" si="11">U37*ROUND(Q37,2)</f>
        <v>#DIV/0!</v>
      </c>
    </row>
    <row r="38" spans="1:22" ht="28.8" x14ac:dyDescent="0.3">
      <c r="A38" s="61" t="s">
        <v>233</v>
      </c>
      <c r="B38" s="62" t="s">
        <v>234</v>
      </c>
      <c r="C38" s="62" t="s">
        <v>235</v>
      </c>
      <c r="D38" s="62" t="s">
        <v>307</v>
      </c>
      <c r="E38" s="63" t="s">
        <v>308</v>
      </c>
      <c r="F38" s="62" t="s">
        <v>252</v>
      </c>
      <c r="G38" s="62" t="s">
        <v>189</v>
      </c>
      <c r="H38" s="62" t="s">
        <v>10</v>
      </c>
      <c r="I38" s="62" t="s">
        <v>163</v>
      </c>
      <c r="J38" s="62" t="s">
        <v>273</v>
      </c>
      <c r="K38" s="62" t="s">
        <v>234</v>
      </c>
      <c r="L38" s="64">
        <v>159</v>
      </c>
      <c r="M38" s="64">
        <f t="shared" si="6"/>
        <v>130.94117647058823</v>
      </c>
      <c r="N38" s="65">
        <f>prodnorm16</f>
        <v>0</v>
      </c>
      <c r="O38" s="66">
        <f>dagwerk16</f>
        <v>0</v>
      </c>
      <c r="P38" s="62" t="s">
        <v>38</v>
      </c>
      <c r="Q38" s="67">
        <f>uurtarief16</f>
        <v>0</v>
      </c>
      <c r="R38" s="64" t="e">
        <f t="shared" si="7"/>
        <v>#DIV/0!</v>
      </c>
      <c r="S38" s="64" t="e">
        <f t="shared" si="8"/>
        <v>#DIV/0!</v>
      </c>
      <c r="T38" s="67" t="e">
        <f t="shared" si="9"/>
        <v>#DIV/0!</v>
      </c>
      <c r="U38" s="64" t="e">
        <f t="shared" si="10"/>
        <v>#DIV/0!</v>
      </c>
      <c r="V38" s="68" t="e">
        <f t="shared" si="11"/>
        <v>#DIV/0!</v>
      </c>
    </row>
    <row r="39" spans="1:22" x14ac:dyDescent="0.3">
      <c r="A39" s="61" t="s">
        <v>233</v>
      </c>
      <c r="B39" s="62" t="s">
        <v>234</v>
      </c>
      <c r="C39" s="62" t="s">
        <v>235</v>
      </c>
      <c r="D39" s="62" t="s">
        <v>309</v>
      </c>
      <c r="E39" s="63" t="s">
        <v>310</v>
      </c>
      <c r="F39" s="62" t="s">
        <v>242</v>
      </c>
      <c r="G39" s="62" t="s">
        <v>205</v>
      </c>
      <c r="H39" s="62" t="s">
        <v>10</v>
      </c>
      <c r="I39" s="62" t="s">
        <v>163</v>
      </c>
      <c r="J39" s="62" t="s">
        <v>273</v>
      </c>
      <c r="K39" s="62" t="s">
        <v>234</v>
      </c>
      <c r="L39" s="64">
        <v>4</v>
      </c>
      <c r="M39" s="64">
        <f t="shared" si="6"/>
        <v>3.2941176470588234</v>
      </c>
      <c r="N39" s="65">
        <f>prodnorm25</f>
        <v>0</v>
      </c>
      <c r="O39" s="66">
        <f>dagwerk25</f>
        <v>0</v>
      </c>
      <c r="P39" s="62" t="s">
        <v>38</v>
      </c>
      <c r="Q39" s="67">
        <f>uurtarief25</f>
        <v>0</v>
      </c>
      <c r="R39" s="64" t="e">
        <f t="shared" si="7"/>
        <v>#DIV/0!</v>
      </c>
      <c r="S39" s="64" t="e">
        <f t="shared" si="8"/>
        <v>#DIV/0!</v>
      </c>
      <c r="T39" s="67" t="e">
        <f t="shared" si="9"/>
        <v>#DIV/0!</v>
      </c>
      <c r="U39" s="64" t="e">
        <f t="shared" si="10"/>
        <v>#DIV/0!</v>
      </c>
      <c r="V39" s="68" t="e">
        <f t="shared" si="11"/>
        <v>#DIV/0!</v>
      </c>
    </row>
    <row r="40" spans="1:22" x14ac:dyDescent="0.3">
      <c r="A40" s="61" t="s">
        <v>233</v>
      </c>
      <c r="B40" s="62" t="s">
        <v>234</v>
      </c>
      <c r="C40" s="62" t="s">
        <v>235</v>
      </c>
      <c r="D40" s="62" t="s">
        <v>311</v>
      </c>
      <c r="E40" s="63" t="s">
        <v>312</v>
      </c>
      <c r="F40" s="62" t="s">
        <v>252</v>
      </c>
      <c r="G40" s="62" t="s">
        <v>207</v>
      </c>
      <c r="H40" s="62" t="s">
        <v>10</v>
      </c>
      <c r="I40" s="62" t="s">
        <v>163</v>
      </c>
      <c r="J40" s="62" t="s">
        <v>239</v>
      </c>
      <c r="K40" s="62" t="s">
        <v>234</v>
      </c>
      <c r="L40" s="64">
        <v>41</v>
      </c>
      <c r="M40" s="64">
        <f t="shared" si="6"/>
        <v>33.764705882352942</v>
      </c>
      <c r="N40" s="65">
        <f>prodnorm26</f>
        <v>0</v>
      </c>
      <c r="O40" s="66">
        <f>dagwerk26</f>
        <v>0</v>
      </c>
      <c r="P40" s="62" t="s">
        <v>38</v>
      </c>
      <c r="Q40" s="67">
        <f>uurtarief26</f>
        <v>0</v>
      </c>
      <c r="R40" s="64" t="e">
        <f t="shared" si="7"/>
        <v>#DIV/0!</v>
      </c>
      <c r="S40" s="64" t="e">
        <f t="shared" si="8"/>
        <v>#DIV/0!</v>
      </c>
      <c r="T40" s="67" t="e">
        <f t="shared" si="9"/>
        <v>#DIV/0!</v>
      </c>
      <c r="U40" s="64" t="e">
        <f t="shared" si="10"/>
        <v>#DIV/0!</v>
      </c>
      <c r="V40" s="68" t="e">
        <f t="shared" si="11"/>
        <v>#DIV/0!</v>
      </c>
    </row>
    <row r="41" spans="1:22" x14ac:dyDescent="0.3">
      <c r="A41" s="61" t="s">
        <v>233</v>
      </c>
      <c r="B41" s="62" t="s">
        <v>234</v>
      </c>
      <c r="C41" s="62" t="s">
        <v>235</v>
      </c>
      <c r="D41" s="62" t="s">
        <v>313</v>
      </c>
      <c r="E41" s="63" t="s">
        <v>314</v>
      </c>
      <c r="F41" s="62" t="s">
        <v>245</v>
      </c>
      <c r="G41" s="62" t="s">
        <v>201</v>
      </c>
      <c r="H41" s="62" t="s">
        <v>10</v>
      </c>
      <c r="I41" s="62" t="s">
        <v>163</v>
      </c>
      <c r="J41" s="62" t="s">
        <v>246</v>
      </c>
      <c r="K41" s="62" t="s">
        <v>234</v>
      </c>
      <c r="L41" s="64">
        <v>9</v>
      </c>
      <c r="M41" s="64">
        <f t="shared" si="6"/>
        <v>7.4117647058823524</v>
      </c>
      <c r="N41" s="65">
        <f>prodnorm23</f>
        <v>0</v>
      </c>
      <c r="O41" s="66">
        <f>dagwerk23</f>
        <v>0</v>
      </c>
      <c r="P41" s="62" t="s">
        <v>38</v>
      </c>
      <c r="Q41" s="67">
        <f>uurtarief23</f>
        <v>0</v>
      </c>
      <c r="R41" s="64" t="e">
        <f t="shared" si="7"/>
        <v>#DIV/0!</v>
      </c>
      <c r="S41" s="64" t="e">
        <f t="shared" si="8"/>
        <v>#DIV/0!</v>
      </c>
      <c r="T41" s="67" t="e">
        <f t="shared" si="9"/>
        <v>#DIV/0!</v>
      </c>
      <c r="U41" s="64" t="e">
        <f t="shared" si="10"/>
        <v>#DIV/0!</v>
      </c>
      <c r="V41" s="68" t="e">
        <f t="shared" si="11"/>
        <v>#DIV/0!</v>
      </c>
    </row>
    <row r="42" spans="1:22" x14ac:dyDescent="0.3">
      <c r="A42" s="61" t="s">
        <v>233</v>
      </c>
      <c r="B42" s="62" t="s">
        <v>234</v>
      </c>
      <c r="C42" s="62" t="s">
        <v>235</v>
      </c>
      <c r="D42" s="62" t="s">
        <v>315</v>
      </c>
      <c r="E42" s="63" t="s">
        <v>316</v>
      </c>
      <c r="F42" s="62" t="s">
        <v>245</v>
      </c>
      <c r="G42" s="62" t="s">
        <v>199</v>
      </c>
      <c r="H42" s="62" t="s">
        <v>10</v>
      </c>
      <c r="I42" s="62" t="s">
        <v>163</v>
      </c>
      <c r="J42" s="62" t="s">
        <v>246</v>
      </c>
      <c r="K42" s="62" t="s">
        <v>234</v>
      </c>
      <c r="L42" s="64">
        <v>1</v>
      </c>
      <c r="M42" s="64">
        <f t="shared" si="6"/>
        <v>0.82352941176470584</v>
      </c>
      <c r="N42" s="65">
        <f>prodnorm22</f>
        <v>0</v>
      </c>
      <c r="O42" s="66">
        <f>dagwerk22</f>
        <v>0</v>
      </c>
      <c r="P42" s="62" t="s">
        <v>38</v>
      </c>
      <c r="Q42" s="67">
        <f>uurtarief22</f>
        <v>0</v>
      </c>
      <c r="R42" s="64" t="e">
        <f t="shared" si="7"/>
        <v>#DIV/0!</v>
      </c>
      <c r="S42" s="64" t="e">
        <f t="shared" si="8"/>
        <v>#DIV/0!</v>
      </c>
      <c r="T42" s="67" t="e">
        <f t="shared" si="9"/>
        <v>#DIV/0!</v>
      </c>
      <c r="U42" s="64" t="e">
        <f t="shared" si="10"/>
        <v>#DIV/0!</v>
      </c>
      <c r="V42" s="68" t="e">
        <f t="shared" si="11"/>
        <v>#DIV/0!</v>
      </c>
    </row>
    <row r="43" spans="1:22" x14ac:dyDescent="0.3">
      <c r="A43" s="61" t="s">
        <v>233</v>
      </c>
      <c r="B43" s="62" t="s">
        <v>234</v>
      </c>
      <c r="C43" s="62" t="s">
        <v>235</v>
      </c>
      <c r="D43" s="62" t="s">
        <v>317</v>
      </c>
      <c r="E43" s="63" t="s">
        <v>318</v>
      </c>
      <c r="F43" s="62" t="s">
        <v>245</v>
      </c>
      <c r="G43" s="62" t="s">
        <v>201</v>
      </c>
      <c r="H43" s="62" t="s">
        <v>10</v>
      </c>
      <c r="I43" s="62" t="s">
        <v>163</v>
      </c>
      <c r="J43" s="62" t="s">
        <v>246</v>
      </c>
      <c r="K43" s="62" t="s">
        <v>234</v>
      </c>
      <c r="L43" s="64">
        <v>17</v>
      </c>
      <c r="M43" s="64">
        <f t="shared" si="6"/>
        <v>14</v>
      </c>
      <c r="N43" s="65">
        <f>prodnorm23</f>
        <v>0</v>
      </c>
      <c r="O43" s="66">
        <f>dagwerk23</f>
        <v>0</v>
      </c>
      <c r="P43" s="62" t="s">
        <v>38</v>
      </c>
      <c r="Q43" s="67">
        <f>uurtarief23</f>
        <v>0</v>
      </c>
      <c r="R43" s="64" t="e">
        <f t="shared" si="7"/>
        <v>#DIV/0!</v>
      </c>
      <c r="S43" s="64" t="e">
        <f t="shared" si="8"/>
        <v>#DIV/0!</v>
      </c>
      <c r="T43" s="67" t="e">
        <f t="shared" si="9"/>
        <v>#DIV/0!</v>
      </c>
      <c r="U43" s="64" t="e">
        <f t="shared" si="10"/>
        <v>#DIV/0!</v>
      </c>
      <c r="V43" s="68" t="e">
        <f t="shared" si="11"/>
        <v>#DIV/0!</v>
      </c>
    </row>
    <row r="44" spans="1:22" x14ac:dyDescent="0.3">
      <c r="A44" s="61" t="s">
        <v>233</v>
      </c>
      <c r="B44" s="62" t="s">
        <v>234</v>
      </c>
      <c r="C44" s="62" t="s">
        <v>235</v>
      </c>
      <c r="D44" s="62" t="s">
        <v>319</v>
      </c>
      <c r="E44" s="63" t="s">
        <v>244</v>
      </c>
      <c r="F44" s="62" t="s">
        <v>245</v>
      </c>
      <c r="G44" s="62" t="s">
        <v>203</v>
      </c>
      <c r="H44" s="62" t="s">
        <v>10</v>
      </c>
      <c r="I44" s="62" t="s">
        <v>163</v>
      </c>
      <c r="J44" s="62" t="s">
        <v>246</v>
      </c>
      <c r="K44" s="62" t="s">
        <v>234</v>
      </c>
      <c r="L44" s="64">
        <v>1</v>
      </c>
      <c r="M44" s="64">
        <f t="shared" si="6"/>
        <v>0.82352941176470584</v>
      </c>
      <c r="N44" s="65">
        <f>prodnorm24</f>
        <v>0</v>
      </c>
      <c r="O44" s="66">
        <f>dagwerk24</f>
        <v>0</v>
      </c>
      <c r="P44" s="62" t="s">
        <v>38</v>
      </c>
      <c r="Q44" s="67">
        <f>uurtarief24</f>
        <v>0</v>
      </c>
      <c r="R44" s="64" t="e">
        <f t="shared" si="7"/>
        <v>#DIV/0!</v>
      </c>
      <c r="S44" s="64" t="e">
        <f t="shared" si="8"/>
        <v>#DIV/0!</v>
      </c>
      <c r="T44" s="67" t="e">
        <f t="shared" si="9"/>
        <v>#DIV/0!</v>
      </c>
      <c r="U44" s="64" t="e">
        <f t="shared" si="10"/>
        <v>#DIV/0!</v>
      </c>
      <c r="V44" s="68" t="e">
        <f t="shared" si="11"/>
        <v>#DIV/0!</v>
      </c>
    </row>
    <row r="45" spans="1:22" x14ac:dyDescent="0.3">
      <c r="A45" s="61" t="s">
        <v>233</v>
      </c>
      <c r="B45" s="62" t="s">
        <v>234</v>
      </c>
      <c r="C45" s="62" t="s">
        <v>235</v>
      </c>
      <c r="D45" s="62" t="s">
        <v>320</v>
      </c>
      <c r="E45" s="63" t="s">
        <v>321</v>
      </c>
      <c r="F45" s="62" t="s">
        <v>245</v>
      </c>
      <c r="G45" s="62" t="s">
        <v>199</v>
      </c>
      <c r="H45" s="62" t="s">
        <v>10</v>
      </c>
      <c r="I45" s="62" t="s">
        <v>163</v>
      </c>
      <c r="J45" s="62" t="s">
        <v>246</v>
      </c>
      <c r="K45" s="62" t="s">
        <v>234</v>
      </c>
      <c r="L45" s="64">
        <v>6</v>
      </c>
      <c r="M45" s="64">
        <f t="shared" si="6"/>
        <v>4.9411764705882355</v>
      </c>
      <c r="N45" s="65">
        <f>prodnorm22</f>
        <v>0</v>
      </c>
      <c r="O45" s="66">
        <f>dagwerk22</f>
        <v>0</v>
      </c>
      <c r="P45" s="62" t="s">
        <v>38</v>
      </c>
      <c r="Q45" s="67">
        <f>uurtarief22</f>
        <v>0</v>
      </c>
      <c r="R45" s="64" t="e">
        <f t="shared" si="7"/>
        <v>#DIV/0!</v>
      </c>
      <c r="S45" s="64" t="e">
        <f t="shared" si="8"/>
        <v>#DIV/0!</v>
      </c>
      <c r="T45" s="67" t="e">
        <f t="shared" si="9"/>
        <v>#DIV/0!</v>
      </c>
      <c r="U45" s="64" t="e">
        <f t="shared" si="10"/>
        <v>#DIV/0!</v>
      </c>
      <c r="V45" s="68" t="e">
        <f t="shared" si="11"/>
        <v>#DIV/0!</v>
      </c>
    </row>
    <row r="46" spans="1:22" x14ac:dyDescent="0.3">
      <c r="A46" s="61" t="s">
        <v>233</v>
      </c>
      <c r="B46" s="62" t="s">
        <v>234</v>
      </c>
      <c r="C46" s="62" t="s">
        <v>235</v>
      </c>
      <c r="D46" s="62" t="s">
        <v>322</v>
      </c>
      <c r="E46" s="63" t="s">
        <v>323</v>
      </c>
      <c r="F46" s="62" t="s">
        <v>245</v>
      </c>
      <c r="G46" s="62" t="s">
        <v>201</v>
      </c>
      <c r="H46" s="62" t="s">
        <v>10</v>
      </c>
      <c r="I46" s="62" t="s">
        <v>163</v>
      </c>
      <c r="J46" s="62" t="s">
        <v>246</v>
      </c>
      <c r="K46" s="62" t="s">
        <v>234</v>
      </c>
      <c r="L46" s="64">
        <v>13</v>
      </c>
      <c r="M46" s="64">
        <f t="shared" si="6"/>
        <v>10.705882352941176</v>
      </c>
      <c r="N46" s="65">
        <f>prodnorm23</f>
        <v>0</v>
      </c>
      <c r="O46" s="66">
        <f>dagwerk23</f>
        <v>0</v>
      </c>
      <c r="P46" s="62" t="s">
        <v>38</v>
      </c>
      <c r="Q46" s="67">
        <f>uurtarief23</f>
        <v>0</v>
      </c>
      <c r="R46" s="64" t="e">
        <f t="shared" si="7"/>
        <v>#DIV/0!</v>
      </c>
      <c r="S46" s="64" t="e">
        <f t="shared" si="8"/>
        <v>#DIV/0!</v>
      </c>
      <c r="T46" s="67" t="e">
        <f t="shared" si="9"/>
        <v>#DIV/0!</v>
      </c>
      <c r="U46" s="64" t="e">
        <f t="shared" si="10"/>
        <v>#DIV/0!</v>
      </c>
      <c r="V46" s="68" t="e">
        <f t="shared" si="11"/>
        <v>#DIV/0!</v>
      </c>
    </row>
    <row r="47" spans="1:22" x14ac:dyDescent="0.3">
      <c r="A47" s="61" t="s">
        <v>233</v>
      </c>
      <c r="B47" s="62" t="s">
        <v>234</v>
      </c>
      <c r="C47" s="62" t="s">
        <v>235</v>
      </c>
      <c r="D47" s="62" t="s">
        <v>324</v>
      </c>
      <c r="E47" s="63" t="s">
        <v>254</v>
      </c>
      <c r="F47" s="62" t="s">
        <v>245</v>
      </c>
      <c r="G47" s="62" t="s">
        <v>203</v>
      </c>
      <c r="H47" s="62" t="s">
        <v>10</v>
      </c>
      <c r="I47" s="62" t="s">
        <v>163</v>
      </c>
      <c r="J47" s="62" t="s">
        <v>246</v>
      </c>
      <c r="K47" s="62" t="s">
        <v>234</v>
      </c>
      <c r="L47" s="64">
        <v>1</v>
      </c>
      <c r="M47" s="64">
        <f t="shared" si="6"/>
        <v>0.82352941176470584</v>
      </c>
      <c r="N47" s="65">
        <f>prodnorm24</f>
        <v>0</v>
      </c>
      <c r="O47" s="66">
        <f>dagwerk24</f>
        <v>0</v>
      </c>
      <c r="P47" s="62" t="s">
        <v>38</v>
      </c>
      <c r="Q47" s="67">
        <f>uurtarief24</f>
        <v>0</v>
      </c>
      <c r="R47" s="64" t="e">
        <f t="shared" si="7"/>
        <v>#DIV/0!</v>
      </c>
      <c r="S47" s="64" t="e">
        <f t="shared" si="8"/>
        <v>#DIV/0!</v>
      </c>
      <c r="T47" s="67" t="e">
        <f t="shared" si="9"/>
        <v>#DIV/0!</v>
      </c>
      <c r="U47" s="64" t="e">
        <f t="shared" si="10"/>
        <v>#DIV/0!</v>
      </c>
      <c r="V47" s="68" t="e">
        <f t="shared" si="11"/>
        <v>#DIV/0!</v>
      </c>
    </row>
    <row r="48" spans="1:22" x14ac:dyDescent="0.3">
      <c r="A48" s="61" t="s">
        <v>233</v>
      </c>
      <c r="B48" s="62" t="s">
        <v>234</v>
      </c>
      <c r="C48" s="62" t="s">
        <v>235</v>
      </c>
      <c r="D48" s="62" t="s">
        <v>325</v>
      </c>
      <c r="E48" s="63" t="s">
        <v>326</v>
      </c>
      <c r="F48" s="62" t="s">
        <v>245</v>
      </c>
      <c r="G48" s="62" t="s">
        <v>199</v>
      </c>
      <c r="H48" s="62" t="s">
        <v>10</v>
      </c>
      <c r="I48" s="62" t="s">
        <v>163</v>
      </c>
      <c r="J48" s="62" t="s">
        <v>246</v>
      </c>
      <c r="K48" s="62" t="s">
        <v>234</v>
      </c>
      <c r="L48" s="64">
        <v>6</v>
      </c>
      <c r="M48" s="64">
        <f t="shared" si="6"/>
        <v>4.9411764705882355</v>
      </c>
      <c r="N48" s="65">
        <f>prodnorm22</f>
        <v>0</v>
      </c>
      <c r="O48" s="66">
        <f>dagwerk22</f>
        <v>0</v>
      </c>
      <c r="P48" s="62" t="s">
        <v>38</v>
      </c>
      <c r="Q48" s="67">
        <f>uurtarief22</f>
        <v>0</v>
      </c>
      <c r="R48" s="64" t="e">
        <f t="shared" si="7"/>
        <v>#DIV/0!</v>
      </c>
      <c r="S48" s="64" t="e">
        <f t="shared" si="8"/>
        <v>#DIV/0!</v>
      </c>
      <c r="T48" s="67" t="e">
        <f t="shared" si="9"/>
        <v>#DIV/0!</v>
      </c>
      <c r="U48" s="64" t="e">
        <f t="shared" si="10"/>
        <v>#DIV/0!</v>
      </c>
      <c r="V48" s="68" t="e">
        <f t="shared" si="11"/>
        <v>#DIV/0!</v>
      </c>
    </row>
    <row r="49" spans="1:22" x14ac:dyDescent="0.3">
      <c r="A49" s="61" t="s">
        <v>233</v>
      </c>
      <c r="B49" s="62" t="s">
        <v>234</v>
      </c>
      <c r="C49" s="62" t="s">
        <v>235</v>
      </c>
      <c r="D49" s="62" t="s">
        <v>327</v>
      </c>
      <c r="E49" s="63" t="s">
        <v>328</v>
      </c>
      <c r="F49" s="62" t="s">
        <v>329</v>
      </c>
      <c r="G49" s="62" t="s">
        <v>167</v>
      </c>
      <c r="H49" s="62" t="s">
        <v>10</v>
      </c>
      <c r="I49" s="62" t="s">
        <v>163</v>
      </c>
      <c r="J49" s="62" t="s">
        <v>239</v>
      </c>
      <c r="K49" s="62" t="s">
        <v>234</v>
      </c>
      <c r="L49" s="64">
        <v>314</v>
      </c>
      <c r="M49" s="64">
        <f t="shared" si="6"/>
        <v>258.58823529411762</v>
      </c>
      <c r="N49" s="65">
        <f>prodnorm3</f>
        <v>0</v>
      </c>
      <c r="O49" s="66">
        <f>dagwerk3</f>
        <v>0</v>
      </c>
      <c r="P49" s="62" t="s">
        <v>38</v>
      </c>
      <c r="Q49" s="67">
        <f>uurtarief3</f>
        <v>0</v>
      </c>
      <c r="R49" s="64" t="e">
        <f t="shared" si="7"/>
        <v>#DIV/0!</v>
      </c>
      <c r="S49" s="64" t="e">
        <f t="shared" si="8"/>
        <v>#DIV/0!</v>
      </c>
      <c r="T49" s="67" t="e">
        <f t="shared" si="9"/>
        <v>#DIV/0!</v>
      </c>
      <c r="U49" s="64" t="e">
        <f t="shared" si="10"/>
        <v>#DIV/0!</v>
      </c>
      <c r="V49" s="68" t="e">
        <f t="shared" si="11"/>
        <v>#DIV/0!</v>
      </c>
    </row>
    <row r="50" spans="1:22" x14ac:dyDescent="0.3">
      <c r="A50" s="61" t="s">
        <v>233</v>
      </c>
      <c r="B50" s="62" t="s">
        <v>234</v>
      </c>
      <c r="C50" s="62" t="s">
        <v>235</v>
      </c>
      <c r="D50" s="62" t="s">
        <v>330</v>
      </c>
      <c r="E50" s="63" t="s">
        <v>331</v>
      </c>
      <c r="F50" s="62" t="s">
        <v>329</v>
      </c>
      <c r="G50" s="62" t="s">
        <v>169</v>
      </c>
      <c r="H50" s="62" t="s">
        <v>16</v>
      </c>
      <c r="I50" s="62" t="s">
        <v>163</v>
      </c>
      <c r="J50" s="62" t="s">
        <v>234</v>
      </c>
      <c r="K50" s="62" t="s">
        <v>234</v>
      </c>
      <c r="L50" s="64">
        <v>15</v>
      </c>
      <c r="M50" s="64">
        <f t="shared" si="6"/>
        <v>2.4705882352941178</v>
      </c>
      <c r="N50" s="65">
        <f>prodnorm5</f>
        <v>0</v>
      </c>
      <c r="O50" s="66">
        <f>dagwerk5</f>
        <v>0</v>
      </c>
      <c r="P50" s="62" t="s">
        <v>38</v>
      </c>
      <c r="Q50" s="67">
        <f>uurtarief5</f>
        <v>0</v>
      </c>
      <c r="R50" s="64" t="e">
        <f t="shared" si="7"/>
        <v>#DIV/0!</v>
      </c>
      <c r="S50" s="64" t="e">
        <f t="shared" si="8"/>
        <v>#DIV/0!</v>
      </c>
      <c r="T50" s="67" t="e">
        <f t="shared" si="9"/>
        <v>#DIV/0!</v>
      </c>
      <c r="U50" s="64" t="e">
        <f t="shared" si="10"/>
        <v>#DIV/0!</v>
      </c>
      <c r="V50" s="68" t="e">
        <f t="shared" si="11"/>
        <v>#DIV/0!</v>
      </c>
    </row>
    <row r="51" spans="1:22" x14ac:dyDescent="0.3">
      <c r="A51" s="61" t="s">
        <v>233</v>
      </c>
      <c r="B51" s="62" t="s">
        <v>234</v>
      </c>
      <c r="C51" s="62" t="s">
        <v>235</v>
      </c>
      <c r="D51" s="62" t="s">
        <v>332</v>
      </c>
      <c r="E51" s="63" t="s">
        <v>331</v>
      </c>
      <c r="F51" s="62" t="s">
        <v>329</v>
      </c>
      <c r="G51" s="62" t="s">
        <v>169</v>
      </c>
      <c r="H51" s="62" t="s">
        <v>16</v>
      </c>
      <c r="I51" s="62" t="s">
        <v>163</v>
      </c>
      <c r="J51" s="62" t="s">
        <v>234</v>
      </c>
      <c r="K51" s="62" t="s">
        <v>234</v>
      </c>
      <c r="L51" s="64">
        <v>13</v>
      </c>
      <c r="M51" s="64">
        <f t="shared" si="6"/>
        <v>2.1411764705882352</v>
      </c>
      <c r="N51" s="65">
        <f>prodnorm5</f>
        <v>0</v>
      </c>
      <c r="O51" s="66">
        <f>dagwerk5</f>
        <v>0</v>
      </c>
      <c r="P51" s="62" t="s">
        <v>38</v>
      </c>
      <c r="Q51" s="67">
        <f>uurtarief5</f>
        <v>0</v>
      </c>
      <c r="R51" s="64" t="e">
        <f t="shared" si="7"/>
        <v>#DIV/0!</v>
      </c>
      <c r="S51" s="64" t="e">
        <f t="shared" si="8"/>
        <v>#DIV/0!</v>
      </c>
      <c r="T51" s="67" t="e">
        <f t="shared" si="9"/>
        <v>#DIV/0!</v>
      </c>
      <c r="U51" s="64" t="e">
        <f t="shared" si="10"/>
        <v>#DIV/0!</v>
      </c>
      <c r="V51" s="68" t="e">
        <f t="shared" si="11"/>
        <v>#DIV/0!</v>
      </c>
    </row>
    <row r="52" spans="1:22" x14ac:dyDescent="0.3">
      <c r="A52" s="61" t="s">
        <v>233</v>
      </c>
      <c r="B52" s="62" t="s">
        <v>234</v>
      </c>
      <c r="C52" s="62" t="s">
        <v>235</v>
      </c>
      <c r="D52" s="62" t="s">
        <v>333</v>
      </c>
      <c r="E52" s="63" t="s">
        <v>331</v>
      </c>
      <c r="F52" s="62" t="s">
        <v>329</v>
      </c>
      <c r="G52" s="62" t="s">
        <v>169</v>
      </c>
      <c r="H52" s="62" t="s">
        <v>16</v>
      </c>
      <c r="I52" s="62" t="s">
        <v>163</v>
      </c>
      <c r="J52" s="62" t="s">
        <v>234</v>
      </c>
      <c r="K52" s="62" t="s">
        <v>234</v>
      </c>
      <c r="L52" s="64">
        <v>13</v>
      </c>
      <c r="M52" s="64">
        <f t="shared" si="6"/>
        <v>2.1411764705882352</v>
      </c>
      <c r="N52" s="65">
        <f>prodnorm5</f>
        <v>0</v>
      </c>
      <c r="O52" s="66">
        <f>dagwerk5</f>
        <v>0</v>
      </c>
      <c r="P52" s="62" t="s">
        <v>38</v>
      </c>
      <c r="Q52" s="67">
        <f>uurtarief5</f>
        <v>0</v>
      </c>
      <c r="R52" s="64" t="e">
        <f t="shared" si="7"/>
        <v>#DIV/0!</v>
      </c>
      <c r="S52" s="64" t="e">
        <f t="shared" si="8"/>
        <v>#DIV/0!</v>
      </c>
      <c r="T52" s="67" t="e">
        <f t="shared" si="9"/>
        <v>#DIV/0!</v>
      </c>
      <c r="U52" s="64" t="e">
        <f t="shared" si="10"/>
        <v>#DIV/0!</v>
      </c>
      <c r="V52" s="68" t="e">
        <f t="shared" si="11"/>
        <v>#DIV/0!</v>
      </c>
    </row>
    <row r="53" spans="1:22" x14ac:dyDescent="0.3">
      <c r="A53" s="61" t="s">
        <v>233</v>
      </c>
      <c r="B53" s="62" t="s">
        <v>234</v>
      </c>
      <c r="C53" s="62" t="s">
        <v>235</v>
      </c>
      <c r="D53" s="62" t="s">
        <v>334</v>
      </c>
      <c r="E53" s="63" t="s">
        <v>335</v>
      </c>
      <c r="F53" s="62" t="s">
        <v>336</v>
      </c>
      <c r="G53" s="62" t="s">
        <v>207</v>
      </c>
      <c r="H53" s="62" t="s">
        <v>10</v>
      </c>
      <c r="I53" s="62" t="s">
        <v>163</v>
      </c>
      <c r="J53" s="62" t="s">
        <v>239</v>
      </c>
      <c r="K53" s="62" t="s">
        <v>234</v>
      </c>
      <c r="L53" s="64">
        <v>9</v>
      </c>
      <c r="M53" s="64">
        <f t="shared" si="6"/>
        <v>7.4117647058823524</v>
      </c>
      <c r="N53" s="65">
        <f>prodnorm26</f>
        <v>0</v>
      </c>
      <c r="O53" s="66">
        <f>dagwerk26</f>
        <v>0</v>
      </c>
      <c r="P53" s="62" t="s">
        <v>38</v>
      </c>
      <c r="Q53" s="67">
        <f>uurtarief26</f>
        <v>0</v>
      </c>
      <c r="R53" s="64" t="e">
        <f t="shared" si="7"/>
        <v>#DIV/0!</v>
      </c>
      <c r="S53" s="64" t="e">
        <f t="shared" si="8"/>
        <v>#DIV/0!</v>
      </c>
      <c r="T53" s="67" t="e">
        <f t="shared" si="9"/>
        <v>#DIV/0!</v>
      </c>
      <c r="U53" s="64" t="e">
        <f t="shared" si="10"/>
        <v>#DIV/0!</v>
      </c>
      <c r="V53" s="68" t="e">
        <f t="shared" si="11"/>
        <v>#DIV/0!</v>
      </c>
    </row>
    <row r="54" spans="1:22" x14ac:dyDescent="0.3">
      <c r="A54" s="61" t="s">
        <v>233</v>
      </c>
      <c r="B54" s="62" t="s">
        <v>234</v>
      </c>
      <c r="C54" s="62" t="s">
        <v>235</v>
      </c>
      <c r="D54" s="62" t="s">
        <v>337</v>
      </c>
      <c r="E54" s="63" t="s">
        <v>338</v>
      </c>
      <c r="F54" s="62" t="s">
        <v>245</v>
      </c>
      <c r="G54" s="62" t="s">
        <v>203</v>
      </c>
      <c r="H54" s="62" t="s">
        <v>10</v>
      </c>
      <c r="I54" s="62" t="s">
        <v>163</v>
      </c>
      <c r="J54" s="62" t="s">
        <v>246</v>
      </c>
      <c r="K54" s="62" t="s">
        <v>234</v>
      </c>
      <c r="L54" s="64">
        <v>4</v>
      </c>
      <c r="M54" s="64">
        <f t="shared" si="6"/>
        <v>3.2941176470588234</v>
      </c>
      <c r="N54" s="65">
        <f>prodnorm24</f>
        <v>0</v>
      </c>
      <c r="O54" s="66">
        <f>dagwerk24</f>
        <v>0</v>
      </c>
      <c r="P54" s="62" t="s">
        <v>38</v>
      </c>
      <c r="Q54" s="67">
        <f>uurtarief24</f>
        <v>0</v>
      </c>
      <c r="R54" s="64" t="e">
        <f t="shared" si="7"/>
        <v>#DIV/0!</v>
      </c>
      <c r="S54" s="64" t="e">
        <f t="shared" si="8"/>
        <v>#DIV/0!</v>
      </c>
      <c r="T54" s="67" t="e">
        <f t="shared" si="9"/>
        <v>#DIV/0!</v>
      </c>
      <c r="U54" s="64" t="e">
        <f t="shared" si="10"/>
        <v>#DIV/0!</v>
      </c>
      <c r="V54" s="68" t="e">
        <f t="shared" si="11"/>
        <v>#DIV/0!</v>
      </c>
    </row>
    <row r="55" spans="1:22" x14ac:dyDescent="0.3">
      <c r="A55" s="61" t="s">
        <v>233</v>
      </c>
      <c r="B55" s="62" t="s">
        <v>234</v>
      </c>
      <c r="C55" s="62" t="s">
        <v>235</v>
      </c>
      <c r="D55" s="62" t="s">
        <v>339</v>
      </c>
      <c r="E55" s="63" t="s">
        <v>244</v>
      </c>
      <c r="F55" s="62" t="s">
        <v>245</v>
      </c>
      <c r="G55" s="62" t="s">
        <v>203</v>
      </c>
      <c r="H55" s="62" t="s">
        <v>10</v>
      </c>
      <c r="I55" s="62" t="s">
        <v>163</v>
      </c>
      <c r="J55" s="62" t="s">
        <v>246</v>
      </c>
      <c r="K55" s="62" t="s">
        <v>234</v>
      </c>
      <c r="L55" s="64">
        <v>1</v>
      </c>
      <c r="M55" s="64">
        <f t="shared" si="6"/>
        <v>0.82352941176470584</v>
      </c>
      <c r="N55" s="65">
        <f>prodnorm24</f>
        <v>0</v>
      </c>
      <c r="O55" s="66">
        <f>dagwerk24</f>
        <v>0</v>
      </c>
      <c r="P55" s="62" t="s">
        <v>38</v>
      </c>
      <c r="Q55" s="67">
        <f>uurtarief24</f>
        <v>0</v>
      </c>
      <c r="R55" s="64" t="e">
        <f t="shared" si="7"/>
        <v>#DIV/0!</v>
      </c>
      <c r="S55" s="64" t="e">
        <f t="shared" si="8"/>
        <v>#DIV/0!</v>
      </c>
      <c r="T55" s="67" t="e">
        <f t="shared" si="9"/>
        <v>#DIV/0!</v>
      </c>
      <c r="U55" s="64" t="e">
        <f t="shared" si="10"/>
        <v>#DIV/0!</v>
      </c>
      <c r="V55" s="68" t="e">
        <f t="shared" si="11"/>
        <v>#DIV/0!</v>
      </c>
    </row>
    <row r="56" spans="1:22" x14ac:dyDescent="0.3">
      <c r="A56" s="61" t="s">
        <v>233</v>
      </c>
      <c r="B56" s="62" t="s">
        <v>234</v>
      </c>
      <c r="C56" s="62" t="s">
        <v>235</v>
      </c>
      <c r="D56" s="62" t="s">
        <v>340</v>
      </c>
      <c r="E56" s="63" t="s">
        <v>254</v>
      </c>
      <c r="F56" s="62" t="s">
        <v>245</v>
      </c>
      <c r="G56" s="62" t="s">
        <v>203</v>
      </c>
      <c r="H56" s="62" t="s">
        <v>10</v>
      </c>
      <c r="I56" s="62" t="s">
        <v>163</v>
      </c>
      <c r="J56" s="62" t="s">
        <v>246</v>
      </c>
      <c r="K56" s="62" t="s">
        <v>234</v>
      </c>
      <c r="L56" s="64">
        <v>1</v>
      </c>
      <c r="M56" s="64">
        <f t="shared" si="6"/>
        <v>0.82352941176470584</v>
      </c>
      <c r="N56" s="65">
        <f>prodnorm24</f>
        <v>0</v>
      </c>
      <c r="O56" s="66">
        <f>dagwerk24</f>
        <v>0</v>
      </c>
      <c r="P56" s="62" t="s">
        <v>38</v>
      </c>
      <c r="Q56" s="67">
        <f>uurtarief24</f>
        <v>0</v>
      </c>
      <c r="R56" s="64" t="e">
        <f t="shared" si="7"/>
        <v>#DIV/0!</v>
      </c>
      <c r="S56" s="64" t="e">
        <f t="shared" si="8"/>
        <v>#DIV/0!</v>
      </c>
      <c r="T56" s="67" t="e">
        <f t="shared" si="9"/>
        <v>#DIV/0!</v>
      </c>
      <c r="U56" s="64" t="e">
        <f t="shared" si="10"/>
        <v>#DIV/0!</v>
      </c>
      <c r="V56" s="68" t="e">
        <f t="shared" si="11"/>
        <v>#DIV/0!</v>
      </c>
    </row>
    <row r="57" spans="1:22" x14ac:dyDescent="0.3">
      <c r="A57" s="61" t="s">
        <v>233</v>
      </c>
      <c r="B57" s="62" t="s">
        <v>234</v>
      </c>
      <c r="C57" s="62" t="s">
        <v>341</v>
      </c>
      <c r="D57" s="62" t="s">
        <v>342</v>
      </c>
      <c r="E57" s="63" t="s">
        <v>343</v>
      </c>
      <c r="F57" s="62" t="s">
        <v>242</v>
      </c>
      <c r="G57" s="62" t="s">
        <v>207</v>
      </c>
      <c r="H57" s="62" t="s">
        <v>10</v>
      </c>
      <c r="I57" s="62" t="s">
        <v>163</v>
      </c>
      <c r="J57" s="62" t="s">
        <v>239</v>
      </c>
      <c r="K57" s="62" t="s">
        <v>234</v>
      </c>
      <c r="L57" s="64">
        <v>28</v>
      </c>
      <c r="M57" s="64">
        <f t="shared" si="6"/>
        <v>23.058823529411764</v>
      </c>
      <c r="N57" s="65">
        <f>prodnorm26</f>
        <v>0</v>
      </c>
      <c r="O57" s="66">
        <f>dagwerk26</f>
        <v>0</v>
      </c>
      <c r="P57" s="62" t="s">
        <v>38</v>
      </c>
      <c r="Q57" s="67">
        <f>uurtarief26</f>
        <v>0</v>
      </c>
      <c r="R57" s="64" t="e">
        <f t="shared" si="7"/>
        <v>#DIV/0!</v>
      </c>
      <c r="S57" s="64" t="e">
        <f t="shared" si="8"/>
        <v>#DIV/0!</v>
      </c>
      <c r="T57" s="67" t="e">
        <f t="shared" si="9"/>
        <v>#DIV/0!</v>
      </c>
      <c r="U57" s="64" t="e">
        <f t="shared" si="10"/>
        <v>#DIV/0!</v>
      </c>
      <c r="V57" s="68" t="e">
        <f t="shared" si="11"/>
        <v>#DIV/0!</v>
      </c>
    </row>
    <row r="58" spans="1:22" x14ac:dyDescent="0.3">
      <c r="A58" s="61" t="s">
        <v>233</v>
      </c>
      <c r="B58" s="62" t="s">
        <v>234</v>
      </c>
      <c r="C58" s="62" t="s">
        <v>341</v>
      </c>
      <c r="D58" s="62" t="s">
        <v>344</v>
      </c>
      <c r="E58" s="63" t="s">
        <v>345</v>
      </c>
      <c r="F58" s="62" t="s">
        <v>260</v>
      </c>
      <c r="G58" s="62" t="s">
        <v>181</v>
      </c>
      <c r="H58" s="62" t="s">
        <v>13</v>
      </c>
      <c r="I58" s="62" t="s">
        <v>163</v>
      </c>
      <c r="J58" s="62" t="s">
        <v>273</v>
      </c>
      <c r="K58" s="62" t="s">
        <v>234</v>
      </c>
      <c r="L58" s="64">
        <v>55</v>
      </c>
      <c r="M58" s="64">
        <f t="shared" si="6"/>
        <v>22.647058823529409</v>
      </c>
      <c r="N58" s="65">
        <f>prodnorm12</f>
        <v>0</v>
      </c>
      <c r="O58" s="66">
        <f>dagwerk12</f>
        <v>0</v>
      </c>
      <c r="P58" s="62" t="s">
        <v>38</v>
      </c>
      <c r="Q58" s="67">
        <f>uurtarief12</f>
        <v>0</v>
      </c>
      <c r="R58" s="64" t="e">
        <f t="shared" si="7"/>
        <v>#DIV/0!</v>
      </c>
      <c r="S58" s="64" t="e">
        <f t="shared" si="8"/>
        <v>#DIV/0!</v>
      </c>
      <c r="T58" s="67" t="e">
        <f t="shared" si="9"/>
        <v>#DIV/0!</v>
      </c>
      <c r="U58" s="64" t="e">
        <f t="shared" si="10"/>
        <v>#DIV/0!</v>
      </c>
      <c r="V58" s="68" t="e">
        <f t="shared" si="11"/>
        <v>#DIV/0!</v>
      </c>
    </row>
    <row r="59" spans="1:22" x14ac:dyDescent="0.3">
      <c r="A59" s="61" t="s">
        <v>233</v>
      </c>
      <c r="B59" s="62" t="s">
        <v>234</v>
      </c>
      <c r="C59" s="62" t="s">
        <v>341</v>
      </c>
      <c r="D59" s="62" t="s">
        <v>346</v>
      </c>
      <c r="E59" s="63" t="s">
        <v>345</v>
      </c>
      <c r="F59" s="62" t="s">
        <v>260</v>
      </c>
      <c r="G59" s="62" t="s">
        <v>181</v>
      </c>
      <c r="H59" s="62" t="s">
        <v>13</v>
      </c>
      <c r="I59" s="62" t="s">
        <v>163</v>
      </c>
      <c r="J59" s="62" t="s">
        <v>273</v>
      </c>
      <c r="K59" s="62" t="s">
        <v>234</v>
      </c>
      <c r="L59" s="64">
        <v>42</v>
      </c>
      <c r="M59" s="64">
        <f t="shared" si="6"/>
        <v>17.294117647058822</v>
      </c>
      <c r="N59" s="65">
        <f>prodnorm12</f>
        <v>0</v>
      </c>
      <c r="O59" s="66">
        <f>dagwerk12</f>
        <v>0</v>
      </c>
      <c r="P59" s="62" t="s">
        <v>38</v>
      </c>
      <c r="Q59" s="67">
        <f>uurtarief12</f>
        <v>0</v>
      </c>
      <c r="R59" s="64" t="e">
        <f t="shared" si="7"/>
        <v>#DIV/0!</v>
      </c>
      <c r="S59" s="64" t="e">
        <f t="shared" si="8"/>
        <v>#DIV/0!</v>
      </c>
      <c r="T59" s="67" t="e">
        <f t="shared" si="9"/>
        <v>#DIV/0!</v>
      </c>
      <c r="U59" s="64" t="e">
        <f t="shared" si="10"/>
        <v>#DIV/0!</v>
      </c>
      <c r="V59" s="68" t="e">
        <f t="shared" si="11"/>
        <v>#DIV/0!</v>
      </c>
    </row>
    <row r="60" spans="1:22" x14ac:dyDescent="0.3">
      <c r="A60" s="61" t="s">
        <v>233</v>
      </c>
      <c r="B60" s="62" t="s">
        <v>234</v>
      </c>
      <c r="C60" s="62" t="s">
        <v>341</v>
      </c>
      <c r="D60" s="62" t="s">
        <v>347</v>
      </c>
      <c r="E60" s="63" t="s">
        <v>345</v>
      </c>
      <c r="F60" s="62" t="s">
        <v>260</v>
      </c>
      <c r="G60" s="62" t="s">
        <v>181</v>
      </c>
      <c r="H60" s="62" t="s">
        <v>13</v>
      </c>
      <c r="I60" s="62" t="s">
        <v>163</v>
      </c>
      <c r="J60" s="62" t="s">
        <v>273</v>
      </c>
      <c r="K60" s="62" t="s">
        <v>234</v>
      </c>
      <c r="L60" s="64">
        <v>43</v>
      </c>
      <c r="M60" s="64">
        <f t="shared" si="6"/>
        <v>17.705882352941174</v>
      </c>
      <c r="N60" s="65">
        <f>prodnorm12</f>
        <v>0</v>
      </c>
      <c r="O60" s="66">
        <f>dagwerk12</f>
        <v>0</v>
      </c>
      <c r="P60" s="62" t="s">
        <v>38</v>
      </c>
      <c r="Q60" s="67">
        <f>uurtarief12</f>
        <v>0</v>
      </c>
      <c r="R60" s="64" t="e">
        <f t="shared" si="7"/>
        <v>#DIV/0!</v>
      </c>
      <c r="S60" s="64" t="e">
        <f t="shared" si="8"/>
        <v>#DIV/0!</v>
      </c>
      <c r="T60" s="67" t="e">
        <f t="shared" si="9"/>
        <v>#DIV/0!</v>
      </c>
      <c r="U60" s="64" t="e">
        <f t="shared" si="10"/>
        <v>#DIV/0!</v>
      </c>
      <c r="V60" s="68" t="e">
        <f t="shared" si="11"/>
        <v>#DIV/0!</v>
      </c>
    </row>
    <row r="61" spans="1:22" x14ac:dyDescent="0.3">
      <c r="A61" s="61" t="s">
        <v>233</v>
      </c>
      <c r="B61" s="62" t="s">
        <v>234</v>
      </c>
      <c r="C61" s="62" t="s">
        <v>341</v>
      </c>
      <c r="D61" s="62" t="s">
        <v>348</v>
      </c>
      <c r="E61" s="63" t="s">
        <v>345</v>
      </c>
      <c r="F61" s="62" t="s">
        <v>260</v>
      </c>
      <c r="G61" s="62" t="s">
        <v>181</v>
      </c>
      <c r="H61" s="62" t="s">
        <v>13</v>
      </c>
      <c r="I61" s="62" t="s">
        <v>163</v>
      </c>
      <c r="J61" s="62" t="s">
        <v>273</v>
      </c>
      <c r="K61" s="62" t="s">
        <v>234</v>
      </c>
      <c r="L61" s="64">
        <v>43</v>
      </c>
      <c r="M61" s="64">
        <f t="shared" si="6"/>
        <v>17.705882352941174</v>
      </c>
      <c r="N61" s="65">
        <f>prodnorm12</f>
        <v>0</v>
      </c>
      <c r="O61" s="66">
        <f>dagwerk12</f>
        <v>0</v>
      </c>
      <c r="P61" s="62" t="s">
        <v>38</v>
      </c>
      <c r="Q61" s="67">
        <f>uurtarief12</f>
        <v>0</v>
      </c>
      <c r="R61" s="64" t="e">
        <f t="shared" si="7"/>
        <v>#DIV/0!</v>
      </c>
      <c r="S61" s="64" t="e">
        <f t="shared" si="8"/>
        <v>#DIV/0!</v>
      </c>
      <c r="T61" s="67" t="e">
        <f t="shared" si="9"/>
        <v>#DIV/0!</v>
      </c>
      <c r="U61" s="64" t="e">
        <f t="shared" si="10"/>
        <v>#DIV/0!</v>
      </c>
      <c r="V61" s="68" t="e">
        <f t="shared" si="11"/>
        <v>#DIV/0!</v>
      </c>
    </row>
    <row r="62" spans="1:22" x14ac:dyDescent="0.3">
      <c r="A62" s="61" t="s">
        <v>233</v>
      </c>
      <c r="B62" s="62" t="s">
        <v>234</v>
      </c>
      <c r="C62" s="62" t="s">
        <v>341</v>
      </c>
      <c r="D62" s="62" t="s">
        <v>349</v>
      </c>
      <c r="E62" s="63" t="s">
        <v>350</v>
      </c>
      <c r="F62" s="62" t="s">
        <v>270</v>
      </c>
      <c r="G62" s="62" t="s">
        <v>207</v>
      </c>
      <c r="H62" s="62" t="s">
        <v>10</v>
      </c>
      <c r="I62" s="62" t="s">
        <v>163</v>
      </c>
      <c r="J62" s="62" t="s">
        <v>239</v>
      </c>
      <c r="K62" s="62" t="s">
        <v>234</v>
      </c>
      <c r="L62" s="64">
        <v>75</v>
      </c>
      <c r="M62" s="64">
        <f t="shared" si="6"/>
        <v>61.764705882352935</v>
      </c>
      <c r="N62" s="65">
        <f>prodnorm26</f>
        <v>0</v>
      </c>
      <c r="O62" s="66">
        <f>dagwerk26</f>
        <v>0</v>
      </c>
      <c r="P62" s="62" t="s">
        <v>38</v>
      </c>
      <c r="Q62" s="67">
        <f>uurtarief26</f>
        <v>0</v>
      </c>
      <c r="R62" s="64" t="e">
        <f t="shared" si="7"/>
        <v>#DIV/0!</v>
      </c>
      <c r="S62" s="64" t="e">
        <f t="shared" si="8"/>
        <v>#DIV/0!</v>
      </c>
      <c r="T62" s="67" t="e">
        <f t="shared" si="9"/>
        <v>#DIV/0!</v>
      </c>
      <c r="U62" s="64" t="e">
        <f t="shared" si="10"/>
        <v>#DIV/0!</v>
      </c>
      <c r="V62" s="68" t="e">
        <f t="shared" si="11"/>
        <v>#DIV/0!</v>
      </c>
    </row>
    <row r="63" spans="1:22" x14ac:dyDescent="0.3">
      <c r="A63" s="61" t="s">
        <v>233</v>
      </c>
      <c r="B63" s="62" t="s">
        <v>234</v>
      </c>
      <c r="C63" s="62" t="s">
        <v>341</v>
      </c>
      <c r="D63" s="62" t="s">
        <v>351</v>
      </c>
      <c r="E63" s="63" t="s">
        <v>352</v>
      </c>
      <c r="F63" s="62" t="s">
        <v>252</v>
      </c>
      <c r="G63" s="62" t="s">
        <v>207</v>
      </c>
      <c r="H63" s="62" t="s">
        <v>10</v>
      </c>
      <c r="I63" s="62" t="s">
        <v>163</v>
      </c>
      <c r="J63" s="62" t="s">
        <v>239</v>
      </c>
      <c r="K63" s="62" t="s">
        <v>234</v>
      </c>
      <c r="L63" s="64">
        <v>19</v>
      </c>
      <c r="M63" s="64">
        <f t="shared" si="6"/>
        <v>15.647058823529411</v>
      </c>
      <c r="N63" s="65">
        <f>prodnorm26</f>
        <v>0</v>
      </c>
      <c r="O63" s="66">
        <f>dagwerk26</f>
        <v>0</v>
      </c>
      <c r="P63" s="62" t="s">
        <v>38</v>
      </c>
      <c r="Q63" s="67">
        <f>uurtarief26</f>
        <v>0</v>
      </c>
      <c r="R63" s="64" t="e">
        <f t="shared" si="7"/>
        <v>#DIV/0!</v>
      </c>
      <c r="S63" s="64" t="e">
        <f t="shared" si="8"/>
        <v>#DIV/0!</v>
      </c>
      <c r="T63" s="67" t="e">
        <f t="shared" si="9"/>
        <v>#DIV/0!</v>
      </c>
      <c r="U63" s="64" t="e">
        <f t="shared" si="10"/>
        <v>#DIV/0!</v>
      </c>
      <c r="V63" s="68" t="e">
        <f t="shared" si="11"/>
        <v>#DIV/0!</v>
      </c>
    </row>
    <row r="64" spans="1:22" x14ac:dyDescent="0.3">
      <c r="A64" s="61" t="s">
        <v>233</v>
      </c>
      <c r="B64" s="62" t="s">
        <v>234</v>
      </c>
      <c r="C64" s="62" t="s">
        <v>341</v>
      </c>
      <c r="D64" s="62" t="s">
        <v>353</v>
      </c>
      <c r="E64" s="63" t="s">
        <v>354</v>
      </c>
      <c r="F64" s="62" t="s">
        <v>252</v>
      </c>
      <c r="G64" s="62" t="s">
        <v>162</v>
      </c>
      <c r="H64" s="62" t="s">
        <v>13</v>
      </c>
      <c r="I64" s="62" t="s">
        <v>163</v>
      </c>
      <c r="J64" s="62" t="s">
        <v>261</v>
      </c>
      <c r="K64" s="62" t="s">
        <v>234</v>
      </c>
      <c r="L64" s="64">
        <v>20</v>
      </c>
      <c r="M64" s="64">
        <f t="shared" si="6"/>
        <v>8.235294117647058</v>
      </c>
      <c r="N64" s="65">
        <f>prodnorm1</f>
        <v>0</v>
      </c>
      <c r="O64" s="66">
        <f>dagwerk1</f>
        <v>0</v>
      </c>
      <c r="P64" s="62" t="s">
        <v>38</v>
      </c>
      <c r="Q64" s="67">
        <f>uurtarief1</f>
        <v>0</v>
      </c>
      <c r="R64" s="64" t="e">
        <f t="shared" si="7"/>
        <v>#DIV/0!</v>
      </c>
      <c r="S64" s="64" t="e">
        <f t="shared" si="8"/>
        <v>#DIV/0!</v>
      </c>
      <c r="T64" s="67" t="e">
        <f t="shared" si="9"/>
        <v>#DIV/0!</v>
      </c>
      <c r="U64" s="64" t="e">
        <f t="shared" si="10"/>
        <v>#DIV/0!</v>
      </c>
      <c r="V64" s="68" t="e">
        <f t="shared" si="11"/>
        <v>#DIV/0!</v>
      </c>
    </row>
    <row r="65" spans="1:22" x14ac:dyDescent="0.3">
      <c r="A65" s="61" t="s">
        <v>233</v>
      </c>
      <c r="B65" s="62" t="s">
        <v>234</v>
      </c>
      <c r="C65" s="62" t="s">
        <v>341</v>
      </c>
      <c r="D65" s="62" t="s">
        <v>355</v>
      </c>
      <c r="E65" s="63" t="s">
        <v>356</v>
      </c>
      <c r="F65" s="62" t="s">
        <v>245</v>
      </c>
      <c r="G65" s="62" t="s">
        <v>177</v>
      </c>
      <c r="H65" s="62" t="s">
        <v>10</v>
      </c>
      <c r="I65" s="62" t="s">
        <v>163</v>
      </c>
      <c r="J65" s="62" t="s">
        <v>273</v>
      </c>
      <c r="K65" s="62" t="s">
        <v>234</v>
      </c>
      <c r="L65" s="64">
        <v>59</v>
      </c>
      <c r="M65" s="64">
        <f t="shared" si="6"/>
        <v>48.588235294117645</v>
      </c>
      <c r="N65" s="65">
        <f>prodnorm9</f>
        <v>0</v>
      </c>
      <c r="O65" s="66">
        <f>dagwerk9</f>
        <v>0</v>
      </c>
      <c r="P65" s="62" t="s">
        <v>38</v>
      </c>
      <c r="Q65" s="67">
        <f>uurtarief9</f>
        <v>0</v>
      </c>
      <c r="R65" s="64" t="e">
        <f t="shared" si="7"/>
        <v>#DIV/0!</v>
      </c>
      <c r="S65" s="64" t="e">
        <f t="shared" si="8"/>
        <v>#DIV/0!</v>
      </c>
      <c r="T65" s="67" t="e">
        <f t="shared" si="9"/>
        <v>#DIV/0!</v>
      </c>
      <c r="U65" s="64" t="e">
        <f t="shared" si="10"/>
        <v>#DIV/0!</v>
      </c>
      <c r="V65" s="68" t="e">
        <f t="shared" si="11"/>
        <v>#DIV/0!</v>
      </c>
    </row>
    <row r="66" spans="1:22" x14ac:dyDescent="0.3">
      <c r="A66" s="61" t="s">
        <v>233</v>
      </c>
      <c r="B66" s="62" t="s">
        <v>234</v>
      </c>
      <c r="C66" s="62" t="s">
        <v>341</v>
      </c>
      <c r="D66" s="62" t="s">
        <v>357</v>
      </c>
      <c r="E66" s="63" t="s">
        <v>300</v>
      </c>
      <c r="F66" s="62" t="s">
        <v>252</v>
      </c>
      <c r="G66" s="62" t="s">
        <v>207</v>
      </c>
      <c r="H66" s="62" t="s">
        <v>10</v>
      </c>
      <c r="I66" s="62" t="s">
        <v>163</v>
      </c>
      <c r="J66" s="62" t="s">
        <v>239</v>
      </c>
      <c r="K66" s="62" t="s">
        <v>234</v>
      </c>
      <c r="L66" s="64">
        <v>85</v>
      </c>
      <c r="M66" s="64">
        <f t="shared" si="6"/>
        <v>70</v>
      </c>
      <c r="N66" s="65">
        <f>prodnorm26</f>
        <v>0</v>
      </c>
      <c r="O66" s="66">
        <f>dagwerk26</f>
        <v>0</v>
      </c>
      <c r="P66" s="62" t="s">
        <v>38</v>
      </c>
      <c r="Q66" s="67">
        <f>uurtarief26</f>
        <v>0</v>
      </c>
      <c r="R66" s="64" t="e">
        <f t="shared" si="7"/>
        <v>#DIV/0!</v>
      </c>
      <c r="S66" s="64" t="e">
        <f t="shared" si="8"/>
        <v>#DIV/0!</v>
      </c>
      <c r="T66" s="67" t="e">
        <f t="shared" si="9"/>
        <v>#DIV/0!</v>
      </c>
      <c r="U66" s="64" t="e">
        <f t="shared" si="10"/>
        <v>#DIV/0!</v>
      </c>
      <c r="V66" s="68" t="e">
        <f t="shared" si="11"/>
        <v>#DIV/0!</v>
      </c>
    </row>
    <row r="67" spans="1:22" x14ac:dyDescent="0.3">
      <c r="A67" s="61" t="s">
        <v>233</v>
      </c>
      <c r="B67" s="62" t="s">
        <v>234</v>
      </c>
      <c r="C67" s="62" t="s">
        <v>341</v>
      </c>
      <c r="D67" s="62" t="s">
        <v>358</v>
      </c>
      <c r="E67" s="63" t="s">
        <v>359</v>
      </c>
      <c r="F67" s="62" t="s">
        <v>252</v>
      </c>
      <c r="G67" s="62" t="s">
        <v>207</v>
      </c>
      <c r="H67" s="62" t="s">
        <v>10</v>
      </c>
      <c r="I67" s="62" t="s">
        <v>163</v>
      </c>
      <c r="J67" s="62" t="s">
        <v>239</v>
      </c>
      <c r="K67" s="62" t="s">
        <v>234</v>
      </c>
      <c r="L67" s="64">
        <v>13</v>
      </c>
      <c r="M67" s="64">
        <f t="shared" si="6"/>
        <v>10.705882352941176</v>
      </c>
      <c r="N67" s="65">
        <f>prodnorm26</f>
        <v>0</v>
      </c>
      <c r="O67" s="66">
        <f>dagwerk26</f>
        <v>0</v>
      </c>
      <c r="P67" s="62" t="s">
        <v>38</v>
      </c>
      <c r="Q67" s="67">
        <f>uurtarief26</f>
        <v>0</v>
      </c>
      <c r="R67" s="64" t="e">
        <f t="shared" si="7"/>
        <v>#DIV/0!</v>
      </c>
      <c r="S67" s="64" t="e">
        <f t="shared" si="8"/>
        <v>#DIV/0!</v>
      </c>
      <c r="T67" s="67" t="e">
        <f t="shared" si="9"/>
        <v>#DIV/0!</v>
      </c>
      <c r="U67" s="64" t="e">
        <f t="shared" si="10"/>
        <v>#DIV/0!</v>
      </c>
      <c r="V67" s="68" t="e">
        <f t="shared" si="11"/>
        <v>#DIV/0!</v>
      </c>
    </row>
    <row r="68" spans="1:22" x14ac:dyDescent="0.3">
      <c r="A68" s="61" t="s">
        <v>233</v>
      </c>
      <c r="B68" s="62" t="s">
        <v>234</v>
      </c>
      <c r="C68" s="62" t="s">
        <v>341</v>
      </c>
      <c r="D68" s="62" t="s">
        <v>360</v>
      </c>
      <c r="E68" s="63" t="s">
        <v>361</v>
      </c>
      <c r="F68" s="62" t="s">
        <v>252</v>
      </c>
      <c r="G68" s="62" t="s">
        <v>162</v>
      </c>
      <c r="H68" s="62" t="s">
        <v>13</v>
      </c>
      <c r="I68" s="62" t="s">
        <v>163</v>
      </c>
      <c r="J68" s="62" t="s">
        <v>261</v>
      </c>
      <c r="K68" s="62" t="s">
        <v>234</v>
      </c>
      <c r="L68" s="64">
        <v>68</v>
      </c>
      <c r="M68" s="64">
        <f t="shared" si="6"/>
        <v>28</v>
      </c>
      <c r="N68" s="65">
        <f>prodnorm1</f>
        <v>0</v>
      </c>
      <c r="O68" s="66">
        <f>dagwerk1</f>
        <v>0</v>
      </c>
      <c r="P68" s="62" t="s">
        <v>38</v>
      </c>
      <c r="Q68" s="67">
        <f>uurtarief1</f>
        <v>0</v>
      </c>
      <c r="R68" s="64" t="e">
        <f t="shared" si="7"/>
        <v>#DIV/0!</v>
      </c>
      <c r="S68" s="64" t="e">
        <f t="shared" si="8"/>
        <v>#DIV/0!</v>
      </c>
      <c r="T68" s="67" t="e">
        <f t="shared" si="9"/>
        <v>#DIV/0!</v>
      </c>
      <c r="U68" s="64" t="e">
        <f t="shared" si="10"/>
        <v>#DIV/0!</v>
      </c>
      <c r="V68" s="68" t="e">
        <f t="shared" si="11"/>
        <v>#DIV/0!</v>
      </c>
    </row>
    <row r="69" spans="1:22" x14ac:dyDescent="0.3">
      <c r="A69" s="61" t="s">
        <v>233</v>
      </c>
      <c r="B69" s="62" t="s">
        <v>234</v>
      </c>
      <c r="C69" s="62" t="s">
        <v>341</v>
      </c>
      <c r="D69" s="62" t="s">
        <v>362</v>
      </c>
      <c r="E69" s="63" t="s">
        <v>363</v>
      </c>
      <c r="F69" s="62" t="s">
        <v>252</v>
      </c>
      <c r="G69" s="62" t="s">
        <v>179</v>
      </c>
      <c r="H69" s="62" t="s">
        <v>13</v>
      </c>
      <c r="I69" s="62" t="s">
        <v>163</v>
      </c>
      <c r="J69" s="62" t="s">
        <v>273</v>
      </c>
      <c r="K69" s="62" t="s">
        <v>234</v>
      </c>
      <c r="L69" s="64">
        <v>69</v>
      </c>
      <c r="M69" s="64">
        <f t="shared" ref="M69:M100" si="12">L69*VLOOKUP(H69,dagsoorttabel1,2,FALSE)</f>
        <v>28.411764705882351</v>
      </c>
      <c r="N69" s="65">
        <f>prodnorm10</f>
        <v>0</v>
      </c>
      <c r="O69" s="66">
        <f>dagwerk10</f>
        <v>0</v>
      </c>
      <c r="P69" s="62" t="s">
        <v>38</v>
      </c>
      <c r="Q69" s="67">
        <f>uurtarief10</f>
        <v>0</v>
      </c>
      <c r="R69" s="64" t="e">
        <f t="shared" ref="R69:R80" si="13">IF(ISBLANK(N69),0,M69/ROUND(N69,4))</f>
        <v>#DIV/0!</v>
      </c>
      <c r="S69" s="64" t="e">
        <f t="shared" ref="S69:S100" si="14">IF(ISBLANK(N69),0,R69*ROUND(O69,2))</f>
        <v>#DIV/0!</v>
      </c>
      <c r="T69" s="67" t="e">
        <f t="shared" ref="T69:T80" si="15">ROUND(Q69,2)*R69</f>
        <v>#DIV/0!</v>
      </c>
      <c r="U69" s="64" t="e">
        <f t="shared" ref="U69:U80" si="16">R69*dagenperjaar1</f>
        <v>#DIV/0!</v>
      </c>
      <c r="V69" s="68" t="e">
        <f t="shared" ref="V69:V100" si="17">U69*ROUND(Q69,2)</f>
        <v>#DIV/0!</v>
      </c>
    </row>
    <row r="70" spans="1:22" x14ac:dyDescent="0.3">
      <c r="A70" s="61" t="s">
        <v>233</v>
      </c>
      <c r="B70" s="62" t="s">
        <v>234</v>
      </c>
      <c r="C70" s="62" t="s">
        <v>341</v>
      </c>
      <c r="D70" s="62" t="s">
        <v>364</v>
      </c>
      <c r="E70" s="63" t="s">
        <v>365</v>
      </c>
      <c r="F70" s="62" t="s">
        <v>252</v>
      </c>
      <c r="G70" s="62" t="s">
        <v>179</v>
      </c>
      <c r="H70" s="62" t="s">
        <v>13</v>
      </c>
      <c r="I70" s="62" t="s">
        <v>163</v>
      </c>
      <c r="J70" s="62" t="s">
        <v>273</v>
      </c>
      <c r="K70" s="62" t="s">
        <v>234</v>
      </c>
      <c r="L70" s="64">
        <v>51</v>
      </c>
      <c r="M70" s="64">
        <f t="shared" si="12"/>
        <v>21</v>
      </c>
      <c r="N70" s="65">
        <f>prodnorm10</f>
        <v>0</v>
      </c>
      <c r="O70" s="66">
        <f>dagwerk10</f>
        <v>0</v>
      </c>
      <c r="P70" s="62" t="s">
        <v>38</v>
      </c>
      <c r="Q70" s="67">
        <f>uurtarief10</f>
        <v>0</v>
      </c>
      <c r="R70" s="64" t="e">
        <f t="shared" si="13"/>
        <v>#DIV/0!</v>
      </c>
      <c r="S70" s="64" t="e">
        <f t="shared" si="14"/>
        <v>#DIV/0!</v>
      </c>
      <c r="T70" s="67" t="e">
        <f t="shared" si="15"/>
        <v>#DIV/0!</v>
      </c>
      <c r="U70" s="64" t="e">
        <f t="shared" si="16"/>
        <v>#DIV/0!</v>
      </c>
      <c r="V70" s="68" t="e">
        <f t="shared" si="17"/>
        <v>#DIV/0!</v>
      </c>
    </row>
    <row r="71" spans="1:22" x14ac:dyDescent="0.3">
      <c r="A71" s="61" t="s">
        <v>233</v>
      </c>
      <c r="B71" s="62" t="s">
        <v>234</v>
      </c>
      <c r="C71" s="62" t="s">
        <v>341</v>
      </c>
      <c r="D71" s="62" t="s">
        <v>366</v>
      </c>
      <c r="E71" s="63" t="s">
        <v>365</v>
      </c>
      <c r="F71" s="62" t="s">
        <v>252</v>
      </c>
      <c r="G71" s="62" t="s">
        <v>179</v>
      </c>
      <c r="H71" s="62" t="s">
        <v>13</v>
      </c>
      <c r="I71" s="62" t="s">
        <v>163</v>
      </c>
      <c r="J71" s="62" t="s">
        <v>273</v>
      </c>
      <c r="K71" s="62" t="s">
        <v>234</v>
      </c>
      <c r="L71" s="64">
        <v>51</v>
      </c>
      <c r="M71" s="64">
        <f t="shared" si="12"/>
        <v>21</v>
      </c>
      <c r="N71" s="65">
        <f>prodnorm10</f>
        <v>0</v>
      </c>
      <c r="O71" s="66">
        <f>dagwerk10</f>
        <v>0</v>
      </c>
      <c r="P71" s="62" t="s">
        <v>38</v>
      </c>
      <c r="Q71" s="67">
        <f>uurtarief10</f>
        <v>0</v>
      </c>
      <c r="R71" s="64" t="e">
        <f t="shared" si="13"/>
        <v>#DIV/0!</v>
      </c>
      <c r="S71" s="64" t="e">
        <f t="shared" si="14"/>
        <v>#DIV/0!</v>
      </c>
      <c r="T71" s="67" t="e">
        <f t="shared" si="15"/>
        <v>#DIV/0!</v>
      </c>
      <c r="U71" s="64" t="e">
        <f t="shared" si="16"/>
        <v>#DIV/0!</v>
      </c>
      <c r="V71" s="68" t="e">
        <f t="shared" si="17"/>
        <v>#DIV/0!</v>
      </c>
    </row>
    <row r="72" spans="1:22" x14ac:dyDescent="0.3">
      <c r="A72" s="61" t="s">
        <v>233</v>
      </c>
      <c r="B72" s="62" t="s">
        <v>234</v>
      </c>
      <c r="C72" s="62" t="s">
        <v>341</v>
      </c>
      <c r="D72" s="62" t="s">
        <v>367</v>
      </c>
      <c r="E72" s="63" t="s">
        <v>365</v>
      </c>
      <c r="F72" s="62" t="s">
        <v>252</v>
      </c>
      <c r="G72" s="62" t="s">
        <v>179</v>
      </c>
      <c r="H72" s="62" t="s">
        <v>13</v>
      </c>
      <c r="I72" s="62" t="s">
        <v>163</v>
      </c>
      <c r="J72" s="62" t="s">
        <v>273</v>
      </c>
      <c r="K72" s="62" t="s">
        <v>234</v>
      </c>
      <c r="L72" s="64">
        <v>51</v>
      </c>
      <c r="M72" s="64">
        <f t="shared" si="12"/>
        <v>21</v>
      </c>
      <c r="N72" s="65">
        <f>prodnorm10</f>
        <v>0</v>
      </c>
      <c r="O72" s="66">
        <f>dagwerk10</f>
        <v>0</v>
      </c>
      <c r="P72" s="62" t="s">
        <v>38</v>
      </c>
      <c r="Q72" s="67">
        <f>uurtarief10</f>
        <v>0</v>
      </c>
      <c r="R72" s="64" t="e">
        <f t="shared" si="13"/>
        <v>#DIV/0!</v>
      </c>
      <c r="S72" s="64" t="e">
        <f t="shared" si="14"/>
        <v>#DIV/0!</v>
      </c>
      <c r="T72" s="67" t="e">
        <f t="shared" si="15"/>
        <v>#DIV/0!</v>
      </c>
      <c r="U72" s="64" t="e">
        <f t="shared" si="16"/>
        <v>#DIV/0!</v>
      </c>
      <c r="V72" s="68" t="e">
        <f t="shared" si="17"/>
        <v>#DIV/0!</v>
      </c>
    </row>
    <row r="73" spans="1:22" x14ac:dyDescent="0.3">
      <c r="A73" s="61" t="s">
        <v>233</v>
      </c>
      <c r="B73" s="62" t="s">
        <v>234</v>
      </c>
      <c r="C73" s="62" t="s">
        <v>341</v>
      </c>
      <c r="D73" s="62" t="s">
        <v>368</v>
      </c>
      <c r="E73" s="63" t="s">
        <v>369</v>
      </c>
      <c r="F73" s="62" t="s">
        <v>252</v>
      </c>
      <c r="G73" s="62" t="s">
        <v>183</v>
      </c>
      <c r="H73" s="62" t="s">
        <v>10</v>
      </c>
      <c r="I73" s="62" t="s">
        <v>163</v>
      </c>
      <c r="J73" s="62" t="s">
        <v>239</v>
      </c>
      <c r="K73" s="62" t="s">
        <v>234</v>
      </c>
      <c r="L73" s="64">
        <v>76</v>
      </c>
      <c r="M73" s="64">
        <f t="shared" si="12"/>
        <v>62.588235294117645</v>
      </c>
      <c r="N73" s="65">
        <f>prodnorm13</f>
        <v>0</v>
      </c>
      <c r="O73" s="66">
        <f>dagwerk13</f>
        <v>0</v>
      </c>
      <c r="P73" s="62" t="s">
        <v>38</v>
      </c>
      <c r="Q73" s="67">
        <f>uurtarief13</f>
        <v>0</v>
      </c>
      <c r="R73" s="64" t="e">
        <f t="shared" si="13"/>
        <v>#DIV/0!</v>
      </c>
      <c r="S73" s="64" t="e">
        <f t="shared" si="14"/>
        <v>#DIV/0!</v>
      </c>
      <c r="T73" s="67" t="e">
        <f t="shared" si="15"/>
        <v>#DIV/0!</v>
      </c>
      <c r="U73" s="64" t="e">
        <f t="shared" si="16"/>
        <v>#DIV/0!</v>
      </c>
      <c r="V73" s="68" t="e">
        <f t="shared" si="17"/>
        <v>#DIV/0!</v>
      </c>
    </row>
    <row r="74" spans="1:22" x14ac:dyDescent="0.3">
      <c r="A74" s="61" t="s">
        <v>233</v>
      </c>
      <c r="B74" s="62" t="s">
        <v>234</v>
      </c>
      <c r="C74" s="62" t="s">
        <v>341</v>
      </c>
      <c r="D74" s="62" t="s">
        <v>370</v>
      </c>
      <c r="E74" s="63" t="s">
        <v>371</v>
      </c>
      <c r="F74" s="62" t="s">
        <v>252</v>
      </c>
      <c r="G74" s="62" t="s">
        <v>162</v>
      </c>
      <c r="H74" s="62" t="s">
        <v>13</v>
      </c>
      <c r="I74" s="62" t="s">
        <v>163</v>
      </c>
      <c r="J74" s="62" t="s">
        <v>261</v>
      </c>
      <c r="K74" s="62" t="s">
        <v>234</v>
      </c>
      <c r="L74" s="64">
        <v>25</v>
      </c>
      <c r="M74" s="64">
        <f t="shared" si="12"/>
        <v>10.294117647058822</v>
      </c>
      <c r="N74" s="65">
        <f>prodnorm1</f>
        <v>0</v>
      </c>
      <c r="O74" s="66">
        <f>dagwerk1</f>
        <v>0</v>
      </c>
      <c r="P74" s="62" t="s">
        <v>38</v>
      </c>
      <c r="Q74" s="67">
        <f>uurtarief1</f>
        <v>0</v>
      </c>
      <c r="R74" s="64" t="e">
        <f t="shared" si="13"/>
        <v>#DIV/0!</v>
      </c>
      <c r="S74" s="64" t="e">
        <f t="shared" si="14"/>
        <v>#DIV/0!</v>
      </c>
      <c r="T74" s="67" t="e">
        <f t="shared" si="15"/>
        <v>#DIV/0!</v>
      </c>
      <c r="U74" s="64" t="e">
        <f t="shared" si="16"/>
        <v>#DIV/0!</v>
      </c>
      <c r="V74" s="68" t="e">
        <f t="shared" si="17"/>
        <v>#DIV/0!</v>
      </c>
    </row>
    <row r="75" spans="1:22" x14ac:dyDescent="0.3">
      <c r="A75" s="61" t="s">
        <v>233</v>
      </c>
      <c r="B75" s="62" t="s">
        <v>234</v>
      </c>
      <c r="C75" s="62" t="s">
        <v>341</v>
      </c>
      <c r="D75" s="62" t="s">
        <v>372</v>
      </c>
      <c r="E75" s="63" t="s">
        <v>373</v>
      </c>
      <c r="F75" s="62" t="s">
        <v>252</v>
      </c>
      <c r="G75" s="62" t="s">
        <v>162</v>
      </c>
      <c r="H75" s="62" t="s">
        <v>13</v>
      </c>
      <c r="I75" s="62" t="s">
        <v>163</v>
      </c>
      <c r="J75" s="62" t="s">
        <v>261</v>
      </c>
      <c r="K75" s="62" t="s">
        <v>234</v>
      </c>
      <c r="L75" s="64">
        <v>8</v>
      </c>
      <c r="M75" s="64">
        <f t="shared" si="12"/>
        <v>3.2941176470588234</v>
      </c>
      <c r="N75" s="65">
        <f>prodnorm1</f>
        <v>0</v>
      </c>
      <c r="O75" s="66">
        <f>dagwerk1</f>
        <v>0</v>
      </c>
      <c r="P75" s="62" t="s">
        <v>38</v>
      </c>
      <c r="Q75" s="67">
        <f>uurtarief1</f>
        <v>0</v>
      </c>
      <c r="R75" s="64" t="e">
        <f t="shared" si="13"/>
        <v>#DIV/0!</v>
      </c>
      <c r="S75" s="64" t="e">
        <f t="shared" si="14"/>
        <v>#DIV/0!</v>
      </c>
      <c r="T75" s="67" t="e">
        <f t="shared" si="15"/>
        <v>#DIV/0!</v>
      </c>
      <c r="U75" s="64" t="e">
        <f t="shared" si="16"/>
        <v>#DIV/0!</v>
      </c>
      <c r="V75" s="68" t="e">
        <f t="shared" si="17"/>
        <v>#DIV/0!</v>
      </c>
    </row>
    <row r="76" spans="1:22" x14ac:dyDescent="0.3">
      <c r="A76" s="61" t="s">
        <v>233</v>
      </c>
      <c r="B76" s="62" t="s">
        <v>234</v>
      </c>
      <c r="C76" s="62" t="s">
        <v>341</v>
      </c>
      <c r="D76" s="62" t="s">
        <v>374</v>
      </c>
      <c r="E76" s="63" t="s">
        <v>373</v>
      </c>
      <c r="F76" s="62" t="s">
        <v>252</v>
      </c>
      <c r="G76" s="62" t="s">
        <v>162</v>
      </c>
      <c r="H76" s="62" t="s">
        <v>13</v>
      </c>
      <c r="I76" s="62" t="s">
        <v>163</v>
      </c>
      <c r="J76" s="62" t="s">
        <v>261</v>
      </c>
      <c r="K76" s="62" t="s">
        <v>234</v>
      </c>
      <c r="L76" s="64">
        <v>13</v>
      </c>
      <c r="M76" s="64">
        <f t="shared" si="12"/>
        <v>5.3529411764705879</v>
      </c>
      <c r="N76" s="65">
        <f>prodnorm1</f>
        <v>0</v>
      </c>
      <c r="O76" s="66">
        <f>dagwerk1</f>
        <v>0</v>
      </c>
      <c r="P76" s="62" t="s">
        <v>38</v>
      </c>
      <c r="Q76" s="67">
        <f>uurtarief1</f>
        <v>0</v>
      </c>
      <c r="R76" s="64" t="e">
        <f t="shared" si="13"/>
        <v>#DIV/0!</v>
      </c>
      <c r="S76" s="64" t="e">
        <f t="shared" si="14"/>
        <v>#DIV/0!</v>
      </c>
      <c r="T76" s="67" t="e">
        <f t="shared" si="15"/>
        <v>#DIV/0!</v>
      </c>
      <c r="U76" s="64" t="e">
        <f t="shared" si="16"/>
        <v>#DIV/0!</v>
      </c>
      <c r="V76" s="68" t="e">
        <f t="shared" si="17"/>
        <v>#DIV/0!</v>
      </c>
    </row>
    <row r="77" spans="1:22" x14ac:dyDescent="0.3">
      <c r="A77" s="61" t="s">
        <v>233</v>
      </c>
      <c r="B77" s="62" t="s">
        <v>234</v>
      </c>
      <c r="C77" s="62" t="s">
        <v>341</v>
      </c>
      <c r="D77" s="62" t="s">
        <v>375</v>
      </c>
      <c r="E77" s="63" t="s">
        <v>376</v>
      </c>
      <c r="F77" s="62" t="s">
        <v>245</v>
      </c>
      <c r="G77" s="62" t="s">
        <v>203</v>
      </c>
      <c r="H77" s="62" t="s">
        <v>10</v>
      </c>
      <c r="I77" s="62" t="s">
        <v>163</v>
      </c>
      <c r="J77" s="62" t="s">
        <v>246</v>
      </c>
      <c r="K77" s="62" t="s">
        <v>234</v>
      </c>
      <c r="L77" s="64">
        <v>2</v>
      </c>
      <c r="M77" s="64">
        <f t="shared" si="12"/>
        <v>1.6470588235294117</v>
      </c>
      <c r="N77" s="65">
        <f>prodnorm24</f>
        <v>0</v>
      </c>
      <c r="O77" s="66">
        <f>dagwerk24</f>
        <v>0</v>
      </c>
      <c r="P77" s="62" t="s">
        <v>38</v>
      </c>
      <c r="Q77" s="67">
        <f>uurtarief24</f>
        <v>0</v>
      </c>
      <c r="R77" s="64" t="e">
        <f t="shared" si="13"/>
        <v>#DIV/0!</v>
      </c>
      <c r="S77" s="64" t="e">
        <f t="shared" si="14"/>
        <v>#DIV/0!</v>
      </c>
      <c r="T77" s="67" t="e">
        <f t="shared" si="15"/>
        <v>#DIV/0!</v>
      </c>
      <c r="U77" s="64" t="e">
        <f t="shared" si="16"/>
        <v>#DIV/0!</v>
      </c>
      <c r="V77" s="68" t="e">
        <f t="shared" si="17"/>
        <v>#DIV/0!</v>
      </c>
    </row>
    <row r="78" spans="1:22" x14ac:dyDescent="0.3">
      <c r="A78" s="61" t="s">
        <v>233</v>
      </c>
      <c r="B78" s="62" t="s">
        <v>234</v>
      </c>
      <c r="C78" s="62" t="s">
        <v>341</v>
      </c>
      <c r="D78" s="62" t="s">
        <v>377</v>
      </c>
      <c r="E78" s="63" t="s">
        <v>378</v>
      </c>
      <c r="F78" s="62" t="s">
        <v>245</v>
      </c>
      <c r="G78" s="62" t="s">
        <v>203</v>
      </c>
      <c r="H78" s="62" t="s">
        <v>10</v>
      </c>
      <c r="I78" s="62" t="s">
        <v>163</v>
      </c>
      <c r="J78" s="62" t="s">
        <v>246</v>
      </c>
      <c r="K78" s="62" t="s">
        <v>234</v>
      </c>
      <c r="L78" s="64">
        <v>2</v>
      </c>
      <c r="M78" s="64">
        <f t="shared" si="12"/>
        <v>1.6470588235294117</v>
      </c>
      <c r="N78" s="65">
        <f>prodnorm24</f>
        <v>0</v>
      </c>
      <c r="O78" s="66">
        <f>dagwerk24</f>
        <v>0</v>
      </c>
      <c r="P78" s="62" t="s">
        <v>38</v>
      </c>
      <c r="Q78" s="67">
        <f>uurtarief24</f>
        <v>0</v>
      </c>
      <c r="R78" s="64" t="e">
        <f t="shared" si="13"/>
        <v>#DIV/0!</v>
      </c>
      <c r="S78" s="64" t="e">
        <f t="shared" si="14"/>
        <v>#DIV/0!</v>
      </c>
      <c r="T78" s="67" t="e">
        <f t="shared" si="15"/>
        <v>#DIV/0!</v>
      </c>
      <c r="U78" s="64" t="e">
        <f t="shared" si="16"/>
        <v>#DIV/0!</v>
      </c>
      <c r="V78" s="68" t="e">
        <f t="shared" si="17"/>
        <v>#DIV/0!</v>
      </c>
    </row>
    <row r="79" spans="1:22" x14ac:dyDescent="0.3">
      <c r="A79" s="61" t="s">
        <v>233</v>
      </c>
      <c r="B79" s="62" t="s">
        <v>234</v>
      </c>
      <c r="C79" s="62" t="s">
        <v>341</v>
      </c>
      <c r="D79" s="62" t="s">
        <v>379</v>
      </c>
      <c r="E79" s="63" t="s">
        <v>380</v>
      </c>
      <c r="F79" s="62" t="s">
        <v>245</v>
      </c>
      <c r="G79" s="62" t="s">
        <v>203</v>
      </c>
      <c r="H79" s="62" t="s">
        <v>10</v>
      </c>
      <c r="I79" s="62" t="s">
        <v>163</v>
      </c>
      <c r="J79" s="62" t="s">
        <v>246</v>
      </c>
      <c r="K79" s="62" t="s">
        <v>234</v>
      </c>
      <c r="L79" s="64">
        <v>4</v>
      </c>
      <c r="M79" s="64">
        <f t="shared" si="12"/>
        <v>3.2941176470588234</v>
      </c>
      <c r="N79" s="65">
        <f>prodnorm24</f>
        <v>0</v>
      </c>
      <c r="O79" s="66">
        <f>dagwerk24</f>
        <v>0</v>
      </c>
      <c r="P79" s="62" t="s">
        <v>38</v>
      </c>
      <c r="Q79" s="67">
        <f>uurtarief24</f>
        <v>0</v>
      </c>
      <c r="R79" s="64" t="e">
        <f t="shared" si="13"/>
        <v>#DIV/0!</v>
      </c>
      <c r="S79" s="64" t="e">
        <f t="shared" si="14"/>
        <v>#DIV/0!</v>
      </c>
      <c r="T79" s="67" t="e">
        <f t="shared" si="15"/>
        <v>#DIV/0!</v>
      </c>
      <c r="U79" s="64" t="e">
        <f t="shared" si="16"/>
        <v>#DIV/0!</v>
      </c>
      <c r="V79" s="68" t="e">
        <f t="shared" si="17"/>
        <v>#DIV/0!</v>
      </c>
    </row>
    <row r="80" spans="1:22" x14ac:dyDescent="0.3">
      <c r="A80" s="69" t="s">
        <v>233</v>
      </c>
      <c r="B80" s="70" t="s">
        <v>234</v>
      </c>
      <c r="C80" s="70" t="s">
        <v>341</v>
      </c>
      <c r="D80" s="70" t="s">
        <v>381</v>
      </c>
      <c r="E80" s="71" t="s">
        <v>376</v>
      </c>
      <c r="F80" s="70" t="s">
        <v>245</v>
      </c>
      <c r="G80" s="70" t="s">
        <v>203</v>
      </c>
      <c r="H80" s="70" t="s">
        <v>10</v>
      </c>
      <c r="I80" s="70" t="s">
        <v>163</v>
      </c>
      <c r="J80" s="70" t="s">
        <v>246</v>
      </c>
      <c r="K80" s="70" t="s">
        <v>234</v>
      </c>
      <c r="L80" s="72">
        <v>5</v>
      </c>
      <c r="M80" s="72">
        <f t="shared" si="12"/>
        <v>4.117647058823529</v>
      </c>
      <c r="N80" s="73">
        <f>prodnorm24</f>
        <v>0</v>
      </c>
      <c r="O80" s="74">
        <f>dagwerk24</f>
        <v>0</v>
      </c>
      <c r="P80" s="70" t="s">
        <v>38</v>
      </c>
      <c r="Q80" s="75">
        <f>uurtarief24</f>
        <v>0</v>
      </c>
      <c r="R80" s="72" t="e">
        <f t="shared" si="13"/>
        <v>#DIV/0!</v>
      </c>
      <c r="S80" s="72" t="e">
        <f t="shared" si="14"/>
        <v>#DIV/0!</v>
      </c>
      <c r="T80" s="75" t="e">
        <f t="shared" si="15"/>
        <v>#DIV/0!</v>
      </c>
      <c r="U80" s="72" t="e">
        <f t="shared" si="16"/>
        <v>#DIV/0!</v>
      </c>
      <c r="V80" s="76" t="e">
        <f t="shared" si="17"/>
        <v>#DIV/0!</v>
      </c>
    </row>
    <row r="81" spans="1:22" x14ac:dyDescent="0.3">
      <c r="A81" s="77" t="s">
        <v>382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6" t="e">
        <f>IF(_xlfn.SINGLE(object1_urenjaar1)&gt;0,_xlfn.SINGLE(object1_prijsjaar1)/_xlfn.SINGLE(object1_urenjaar1),0)</f>
        <v>#DIV/0!</v>
      </c>
      <c r="R81" s="45" t="e">
        <f>SUM(R5:R80)</f>
        <v>#DIV/0!</v>
      </c>
      <c r="S81" s="45" t="e">
        <f>SUM(S5:S80)</f>
        <v>#DIV/0!</v>
      </c>
      <c r="T81" s="46" t="e">
        <f>SUM(T5:T80)</f>
        <v>#DIV/0!</v>
      </c>
      <c r="U81" s="45" t="e">
        <f>SUM(U5:U80)</f>
        <v>#DIV/0!</v>
      </c>
      <c r="V81" s="47" t="e">
        <f>SUM(V5:V80)</f>
        <v>#DIV/0!</v>
      </c>
    </row>
    <row r="82" spans="1:22" x14ac:dyDescent="0.3">
      <c r="A82" s="52" t="s">
        <v>383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42"/>
    </row>
    <row r="83" spans="1:22" x14ac:dyDescent="0.3">
      <c r="A83" s="53" t="s">
        <v>384</v>
      </c>
      <c r="B83" s="54" t="s">
        <v>234</v>
      </c>
      <c r="C83" s="54" t="s">
        <v>235</v>
      </c>
      <c r="D83" s="54" t="s">
        <v>385</v>
      </c>
      <c r="E83" s="55" t="s">
        <v>386</v>
      </c>
      <c r="F83" s="54" t="s">
        <v>387</v>
      </c>
      <c r="G83" s="54" t="s">
        <v>207</v>
      </c>
      <c r="H83" s="54" t="s">
        <v>10</v>
      </c>
      <c r="I83" s="54" t="s">
        <v>163</v>
      </c>
      <c r="J83" s="54" t="s">
        <v>239</v>
      </c>
      <c r="K83" s="54" t="s">
        <v>234</v>
      </c>
      <c r="L83" s="56">
        <v>1682</v>
      </c>
      <c r="M83" s="56">
        <f t="shared" ref="M83:M114" si="18">L83*VLOOKUP(H83,dagsoorttabel1,2,FALSE)</f>
        <v>1385.1764705882351</v>
      </c>
      <c r="N83" s="57">
        <f>prodnorm26</f>
        <v>0</v>
      </c>
      <c r="O83" s="58">
        <f>dagwerk26</f>
        <v>0</v>
      </c>
      <c r="P83" s="54" t="s">
        <v>38</v>
      </c>
      <c r="Q83" s="59">
        <f>uurtarief26</f>
        <v>0</v>
      </c>
      <c r="R83" s="56" t="e">
        <f t="shared" ref="R83:R114" si="19">IF(ISBLANK(N83),0,M83/ROUND(N83,4))</f>
        <v>#DIV/0!</v>
      </c>
      <c r="S83" s="56" t="e">
        <f t="shared" ref="S83:S114" si="20">IF(ISBLANK(N83),0,R83*ROUND(O83,2))</f>
        <v>#DIV/0!</v>
      </c>
      <c r="T83" s="59" t="e">
        <f t="shared" ref="T83:T114" si="21">ROUND(Q83,2)*R83</f>
        <v>#DIV/0!</v>
      </c>
      <c r="U83" s="56" t="e">
        <f t="shared" ref="U83:U114" si="22">R83*dagenperjaar1</f>
        <v>#DIV/0!</v>
      </c>
      <c r="V83" s="60" t="e">
        <f t="shared" ref="V83:V114" si="23">U83*ROUND(Q83,2)</f>
        <v>#DIV/0!</v>
      </c>
    </row>
    <row r="84" spans="1:22" x14ac:dyDescent="0.3">
      <c r="A84" s="61" t="s">
        <v>384</v>
      </c>
      <c r="B84" s="62" t="s">
        <v>234</v>
      </c>
      <c r="C84" s="62" t="s">
        <v>235</v>
      </c>
      <c r="D84" s="62" t="s">
        <v>236</v>
      </c>
      <c r="E84" s="63" t="s">
        <v>388</v>
      </c>
      <c r="F84" s="62" t="s">
        <v>270</v>
      </c>
      <c r="G84" s="62" t="s">
        <v>203</v>
      </c>
      <c r="H84" s="62" t="s">
        <v>10</v>
      </c>
      <c r="I84" s="62" t="s">
        <v>163</v>
      </c>
      <c r="J84" s="62" t="s">
        <v>246</v>
      </c>
      <c r="K84" s="62" t="s">
        <v>234</v>
      </c>
      <c r="L84" s="64">
        <v>9</v>
      </c>
      <c r="M84" s="64">
        <f t="shared" si="18"/>
        <v>7.4117647058823524</v>
      </c>
      <c r="N84" s="65">
        <f t="shared" ref="N84:N90" si="24">prodnorm24</f>
        <v>0</v>
      </c>
      <c r="O84" s="66">
        <f t="shared" ref="O84:O90" si="25">dagwerk24</f>
        <v>0</v>
      </c>
      <c r="P84" s="62" t="s">
        <v>38</v>
      </c>
      <c r="Q84" s="67">
        <f t="shared" ref="Q84:Q90" si="26">uurtarief24</f>
        <v>0</v>
      </c>
      <c r="R84" s="64" t="e">
        <f t="shared" si="19"/>
        <v>#DIV/0!</v>
      </c>
      <c r="S84" s="64" t="e">
        <f t="shared" si="20"/>
        <v>#DIV/0!</v>
      </c>
      <c r="T84" s="67" t="e">
        <f t="shared" si="21"/>
        <v>#DIV/0!</v>
      </c>
      <c r="U84" s="64" t="e">
        <f t="shared" si="22"/>
        <v>#DIV/0!</v>
      </c>
      <c r="V84" s="68" t="e">
        <f t="shared" si="23"/>
        <v>#DIV/0!</v>
      </c>
    </row>
    <row r="85" spans="1:22" x14ac:dyDescent="0.3">
      <c r="A85" s="61" t="s">
        <v>384</v>
      </c>
      <c r="B85" s="62" t="s">
        <v>234</v>
      </c>
      <c r="C85" s="62" t="s">
        <v>235</v>
      </c>
      <c r="D85" s="62" t="s">
        <v>243</v>
      </c>
      <c r="E85" s="63" t="s">
        <v>388</v>
      </c>
      <c r="F85" s="62" t="s">
        <v>270</v>
      </c>
      <c r="G85" s="62" t="s">
        <v>203</v>
      </c>
      <c r="H85" s="62" t="s">
        <v>10</v>
      </c>
      <c r="I85" s="62" t="s">
        <v>163</v>
      </c>
      <c r="J85" s="62" t="s">
        <v>246</v>
      </c>
      <c r="K85" s="62" t="s">
        <v>234</v>
      </c>
      <c r="L85" s="64">
        <v>1.5</v>
      </c>
      <c r="M85" s="64">
        <f t="shared" si="18"/>
        <v>1.2352941176470589</v>
      </c>
      <c r="N85" s="65">
        <f t="shared" si="24"/>
        <v>0</v>
      </c>
      <c r="O85" s="66">
        <f t="shared" si="25"/>
        <v>0</v>
      </c>
      <c r="P85" s="62" t="s">
        <v>38</v>
      </c>
      <c r="Q85" s="67">
        <f t="shared" si="26"/>
        <v>0</v>
      </c>
      <c r="R85" s="64" t="e">
        <f t="shared" si="19"/>
        <v>#DIV/0!</v>
      </c>
      <c r="S85" s="64" t="e">
        <f t="shared" si="20"/>
        <v>#DIV/0!</v>
      </c>
      <c r="T85" s="67" t="e">
        <f t="shared" si="21"/>
        <v>#DIV/0!</v>
      </c>
      <c r="U85" s="64" t="e">
        <f t="shared" si="22"/>
        <v>#DIV/0!</v>
      </c>
      <c r="V85" s="68" t="e">
        <f t="shared" si="23"/>
        <v>#DIV/0!</v>
      </c>
    </row>
    <row r="86" spans="1:22" x14ac:dyDescent="0.3">
      <c r="A86" s="61" t="s">
        <v>384</v>
      </c>
      <c r="B86" s="62" t="s">
        <v>234</v>
      </c>
      <c r="C86" s="62" t="s">
        <v>235</v>
      </c>
      <c r="D86" s="62" t="s">
        <v>253</v>
      </c>
      <c r="E86" s="63" t="s">
        <v>388</v>
      </c>
      <c r="F86" s="62" t="s">
        <v>270</v>
      </c>
      <c r="G86" s="62" t="s">
        <v>203</v>
      </c>
      <c r="H86" s="62" t="s">
        <v>10</v>
      </c>
      <c r="I86" s="62" t="s">
        <v>163</v>
      </c>
      <c r="J86" s="62" t="s">
        <v>246</v>
      </c>
      <c r="K86" s="62" t="s">
        <v>234</v>
      </c>
      <c r="L86" s="64">
        <v>9</v>
      </c>
      <c r="M86" s="64">
        <f t="shared" si="18"/>
        <v>7.4117647058823524</v>
      </c>
      <c r="N86" s="65">
        <f t="shared" si="24"/>
        <v>0</v>
      </c>
      <c r="O86" s="66">
        <f t="shared" si="25"/>
        <v>0</v>
      </c>
      <c r="P86" s="62" t="s">
        <v>38</v>
      </c>
      <c r="Q86" s="67">
        <f t="shared" si="26"/>
        <v>0</v>
      </c>
      <c r="R86" s="64" t="e">
        <f t="shared" si="19"/>
        <v>#DIV/0!</v>
      </c>
      <c r="S86" s="64" t="e">
        <f t="shared" si="20"/>
        <v>#DIV/0!</v>
      </c>
      <c r="T86" s="67" t="e">
        <f t="shared" si="21"/>
        <v>#DIV/0!</v>
      </c>
      <c r="U86" s="64" t="e">
        <f t="shared" si="22"/>
        <v>#DIV/0!</v>
      </c>
      <c r="V86" s="68" t="e">
        <f t="shared" si="23"/>
        <v>#DIV/0!</v>
      </c>
    </row>
    <row r="87" spans="1:22" x14ac:dyDescent="0.3">
      <c r="A87" s="61" t="s">
        <v>384</v>
      </c>
      <c r="B87" s="62" t="s">
        <v>234</v>
      </c>
      <c r="C87" s="62" t="s">
        <v>235</v>
      </c>
      <c r="D87" s="62" t="s">
        <v>257</v>
      </c>
      <c r="E87" s="63" t="s">
        <v>388</v>
      </c>
      <c r="F87" s="62" t="s">
        <v>270</v>
      </c>
      <c r="G87" s="62" t="s">
        <v>203</v>
      </c>
      <c r="H87" s="62" t="s">
        <v>10</v>
      </c>
      <c r="I87" s="62" t="s">
        <v>163</v>
      </c>
      <c r="J87" s="62" t="s">
        <v>246</v>
      </c>
      <c r="K87" s="62" t="s">
        <v>234</v>
      </c>
      <c r="L87" s="64">
        <v>9</v>
      </c>
      <c r="M87" s="64">
        <f t="shared" si="18"/>
        <v>7.4117647058823524</v>
      </c>
      <c r="N87" s="65">
        <f t="shared" si="24"/>
        <v>0</v>
      </c>
      <c r="O87" s="66">
        <f t="shared" si="25"/>
        <v>0</v>
      </c>
      <c r="P87" s="62" t="s">
        <v>38</v>
      </c>
      <c r="Q87" s="67">
        <f t="shared" si="26"/>
        <v>0</v>
      </c>
      <c r="R87" s="64" t="e">
        <f t="shared" si="19"/>
        <v>#DIV/0!</v>
      </c>
      <c r="S87" s="64" t="e">
        <f t="shared" si="20"/>
        <v>#DIV/0!</v>
      </c>
      <c r="T87" s="67" t="e">
        <f t="shared" si="21"/>
        <v>#DIV/0!</v>
      </c>
      <c r="U87" s="64" t="e">
        <f t="shared" si="22"/>
        <v>#DIV/0!</v>
      </c>
      <c r="V87" s="68" t="e">
        <f t="shared" si="23"/>
        <v>#DIV/0!</v>
      </c>
    </row>
    <row r="88" spans="1:22" x14ac:dyDescent="0.3">
      <c r="A88" s="61" t="s">
        <v>384</v>
      </c>
      <c r="B88" s="62" t="s">
        <v>234</v>
      </c>
      <c r="C88" s="62" t="s">
        <v>235</v>
      </c>
      <c r="D88" s="62" t="s">
        <v>266</v>
      </c>
      <c r="E88" s="63" t="s">
        <v>388</v>
      </c>
      <c r="F88" s="62" t="s">
        <v>270</v>
      </c>
      <c r="G88" s="62" t="s">
        <v>203</v>
      </c>
      <c r="H88" s="62" t="s">
        <v>10</v>
      </c>
      <c r="I88" s="62" t="s">
        <v>163</v>
      </c>
      <c r="J88" s="62" t="s">
        <v>246</v>
      </c>
      <c r="K88" s="62" t="s">
        <v>234</v>
      </c>
      <c r="L88" s="64">
        <v>5</v>
      </c>
      <c r="M88" s="64">
        <f t="shared" si="18"/>
        <v>4.117647058823529</v>
      </c>
      <c r="N88" s="65">
        <f t="shared" si="24"/>
        <v>0</v>
      </c>
      <c r="O88" s="66">
        <f t="shared" si="25"/>
        <v>0</v>
      </c>
      <c r="P88" s="62" t="s">
        <v>38</v>
      </c>
      <c r="Q88" s="67">
        <f t="shared" si="26"/>
        <v>0</v>
      </c>
      <c r="R88" s="64" t="e">
        <f t="shared" si="19"/>
        <v>#DIV/0!</v>
      </c>
      <c r="S88" s="64" t="e">
        <f t="shared" si="20"/>
        <v>#DIV/0!</v>
      </c>
      <c r="T88" s="67" t="e">
        <f t="shared" si="21"/>
        <v>#DIV/0!</v>
      </c>
      <c r="U88" s="64" t="e">
        <f t="shared" si="22"/>
        <v>#DIV/0!</v>
      </c>
      <c r="V88" s="68" t="e">
        <f t="shared" si="23"/>
        <v>#DIV/0!</v>
      </c>
    </row>
    <row r="89" spans="1:22" x14ac:dyDescent="0.3">
      <c r="A89" s="61" t="s">
        <v>384</v>
      </c>
      <c r="B89" s="62" t="s">
        <v>234</v>
      </c>
      <c r="C89" s="62" t="s">
        <v>235</v>
      </c>
      <c r="D89" s="62" t="s">
        <v>271</v>
      </c>
      <c r="E89" s="63" t="s">
        <v>388</v>
      </c>
      <c r="F89" s="62" t="s">
        <v>270</v>
      </c>
      <c r="G89" s="62" t="s">
        <v>203</v>
      </c>
      <c r="H89" s="62" t="s">
        <v>10</v>
      </c>
      <c r="I89" s="62" t="s">
        <v>163</v>
      </c>
      <c r="J89" s="62" t="s">
        <v>246</v>
      </c>
      <c r="K89" s="62" t="s">
        <v>234</v>
      </c>
      <c r="L89" s="64">
        <v>6</v>
      </c>
      <c r="M89" s="64">
        <f t="shared" si="18"/>
        <v>4.9411764705882355</v>
      </c>
      <c r="N89" s="65">
        <f t="shared" si="24"/>
        <v>0</v>
      </c>
      <c r="O89" s="66">
        <f t="shared" si="25"/>
        <v>0</v>
      </c>
      <c r="P89" s="62" t="s">
        <v>38</v>
      </c>
      <c r="Q89" s="67">
        <f t="shared" si="26"/>
        <v>0</v>
      </c>
      <c r="R89" s="64" t="e">
        <f t="shared" si="19"/>
        <v>#DIV/0!</v>
      </c>
      <c r="S89" s="64" t="e">
        <f t="shared" si="20"/>
        <v>#DIV/0!</v>
      </c>
      <c r="T89" s="67" t="e">
        <f t="shared" si="21"/>
        <v>#DIV/0!</v>
      </c>
      <c r="U89" s="64" t="e">
        <f t="shared" si="22"/>
        <v>#DIV/0!</v>
      </c>
      <c r="V89" s="68" t="e">
        <f t="shared" si="23"/>
        <v>#DIV/0!</v>
      </c>
    </row>
    <row r="90" spans="1:22" x14ac:dyDescent="0.3">
      <c r="A90" s="61" t="s">
        <v>384</v>
      </c>
      <c r="B90" s="62" t="s">
        <v>234</v>
      </c>
      <c r="C90" s="62" t="s">
        <v>235</v>
      </c>
      <c r="D90" s="62" t="s">
        <v>274</v>
      </c>
      <c r="E90" s="63" t="s">
        <v>388</v>
      </c>
      <c r="F90" s="62" t="s">
        <v>270</v>
      </c>
      <c r="G90" s="62" t="s">
        <v>203</v>
      </c>
      <c r="H90" s="62" t="s">
        <v>10</v>
      </c>
      <c r="I90" s="62" t="s">
        <v>163</v>
      </c>
      <c r="J90" s="62" t="s">
        <v>246</v>
      </c>
      <c r="K90" s="62" t="s">
        <v>234</v>
      </c>
      <c r="L90" s="64">
        <v>6</v>
      </c>
      <c r="M90" s="64">
        <f t="shared" si="18"/>
        <v>4.9411764705882355</v>
      </c>
      <c r="N90" s="65">
        <f t="shared" si="24"/>
        <v>0</v>
      </c>
      <c r="O90" s="66">
        <f t="shared" si="25"/>
        <v>0</v>
      </c>
      <c r="P90" s="62" t="s">
        <v>38</v>
      </c>
      <c r="Q90" s="67">
        <f t="shared" si="26"/>
        <v>0</v>
      </c>
      <c r="R90" s="64" t="e">
        <f t="shared" si="19"/>
        <v>#DIV/0!</v>
      </c>
      <c r="S90" s="64" t="e">
        <f t="shared" si="20"/>
        <v>#DIV/0!</v>
      </c>
      <c r="T90" s="67" t="e">
        <f t="shared" si="21"/>
        <v>#DIV/0!</v>
      </c>
      <c r="U90" s="64" t="e">
        <f t="shared" si="22"/>
        <v>#DIV/0!</v>
      </c>
      <c r="V90" s="68" t="e">
        <f t="shared" si="23"/>
        <v>#DIV/0!</v>
      </c>
    </row>
    <row r="91" spans="1:22" x14ac:dyDescent="0.3">
      <c r="A91" s="61" t="s">
        <v>384</v>
      </c>
      <c r="B91" s="62" t="s">
        <v>234</v>
      </c>
      <c r="C91" s="62" t="s">
        <v>235</v>
      </c>
      <c r="D91" s="62" t="s">
        <v>275</v>
      </c>
      <c r="E91" s="63" t="s">
        <v>389</v>
      </c>
      <c r="F91" s="62" t="s">
        <v>270</v>
      </c>
      <c r="G91" s="62" t="s">
        <v>201</v>
      </c>
      <c r="H91" s="62" t="s">
        <v>10</v>
      </c>
      <c r="I91" s="62" t="s">
        <v>163</v>
      </c>
      <c r="J91" s="62" t="s">
        <v>246</v>
      </c>
      <c r="K91" s="62" t="s">
        <v>234</v>
      </c>
      <c r="L91" s="64">
        <v>33</v>
      </c>
      <c r="M91" s="64">
        <f t="shared" si="18"/>
        <v>27.176470588235293</v>
      </c>
      <c r="N91" s="65">
        <f>prodnorm23</f>
        <v>0</v>
      </c>
      <c r="O91" s="66">
        <f>dagwerk23</f>
        <v>0</v>
      </c>
      <c r="P91" s="62" t="s">
        <v>38</v>
      </c>
      <c r="Q91" s="67">
        <f>uurtarief23</f>
        <v>0</v>
      </c>
      <c r="R91" s="64" t="e">
        <f t="shared" si="19"/>
        <v>#DIV/0!</v>
      </c>
      <c r="S91" s="64" t="e">
        <f t="shared" si="20"/>
        <v>#DIV/0!</v>
      </c>
      <c r="T91" s="67" t="e">
        <f t="shared" si="21"/>
        <v>#DIV/0!</v>
      </c>
      <c r="U91" s="64" t="e">
        <f t="shared" si="22"/>
        <v>#DIV/0!</v>
      </c>
      <c r="V91" s="68" t="e">
        <f t="shared" si="23"/>
        <v>#DIV/0!</v>
      </c>
    </row>
    <row r="92" spans="1:22" x14ac:dyDescent="0.3">
      <c r="A92" s="61" t="s">
        <v>384</v>
      </c>
      <c r="B92" s="62" t="s">
        <v>234</v>
      </c>
      <c r="C92" s="62" t="s">
        <v>235</v>
      </c>
      <c r="D92" s="62" t="s">
        <v>276</v>
      </c>
      <c r="E92" s="63" t="s">
        <v>390</v>
      </c>
      <c r="F92" s="62" t="s">
        <v>270</v>
      </c>
      <c r="G92" s="62" t="s">
        <v>199</v>
      </c>
      <c r="H92" s="62" t="s">
        <v>10</v>
      </c>
      <c r="I92" s="62" t="s">
        <v>163</v>
      </c>
      <c r="J92" s="62" t="s">
        <v>246</v>
      </c>
      <c r="K92" s="62" t="s">
        <v>234</v>
      </c>
      <c r="L92" s="64">
        <v>20</v>
      </c>
      <c r="M92" s="64">
        <f t="shared" si="18"/>
        <v>16.470588235294116</v>
      </c>
      <c r="N92" s="65">
        <f>prodnorm22</f>
        <v>0</v>
      </c>
      <c r="O92" s="66">
        <f>dagwerk22</f>
        <v>0</v>
      </c>
      <c r="P92" s="62" t="s">
        <v>38</v>
      </c>
      <c r="Q92" s="67">
        <f>uurtarief22</f>
        <v>0</v>
      </c>
      <c r="R92" s="64" t="e">
        <f t="shared" si="19"/>
        <v>#DIV/0!</v>
      </c>
      <c r="S92" s="64" t="e">
        <f t="shared" si="20"/>
        <v>#DIV/0!</v>
      </c>
      <c r="T92" s="67" t="e">
        <f t="shared" si="21"/>
        <v>#DIV/0!</v>
      </c>
      <c r="U92" s="64" t="e">
        <f t="shared" si="22"/>
        <v>#DIV/0!</v>
      </c>
      <c r="V92" s="68" t="e">
        <f t="shared" si="23"/>
        <v>#DIV/0!</v>
      </c>
    </row>
    <row r="93" spans="1:22" x14ac:dyDescent="0.3">
      <c r="A93" s="61" t="s">
        <v>384</v>
      </c>
      <c r="B93" s="62" t="s">
        <v>234</v>
      </c>
      <c r="C93" s="62" t="s">
        <v>235</v>
      </c>
      <c r="D93" s="62" t="s">
        <v>278</v>
      </c>
      <c r="E93" s="63" t="s">
        <v>391</v>
      </c>
      <c r="F93" s="62" t="s">
        <v>270</v>
      </c>
      <c r="G93" s="62" t="s">
        <v>203</v>
      </c>
      <c r="H93" s="62" t="s">
        <v>10</v>
      </c>
      <c r="I93" s="62" t="s">
        <v>163</v>
      </c>
      <c r="J93" s="62" t="s">
        <v>246</v>
      </c>
      <c r="K93" s="62" t="s">
        <v>234</v>
      </c>
      <c r="L93" s="64">
        <v>12</v>
      </c>
      <c r="M93" s="64">
        <f t="shared" si="18"/>
        <v>9.882352941176471</v>
      </c>
      <c r="N93" s="65">
        <f>prodnorm24</f>
        <v>0</v>
      </c>
      <c r="O93" s="66">
        <f>dagwerk24</f>
        <v>0</v>
      </c>
      <c r="P93" s="62" t="s">
        <v>38</v>
      </c>
      <c r="Q93" s="67">
        <f>uurtarief24</f>
        <v>0</v>
      </c>
      <c r="R93" s="64" t="e">
        <f t="shared" si="19"/>
        <v>#DIV/0!</v>
      </c>
      <c r="S93" s="64" t="e">
        <f t="shared" si="20"/>
        <v>#DIV/0!</v>
      </c>
      <c r="T93" s="67" t="e">
        <f t="shared" si="21"/>
        <v>#DIV/0!</v>
      </c>
      <c r="U93" s="64" t="e">
        <f t="shared" si="22"/>
        <v>#DIV/0!</v>
      </c>
      <c r="V93" s="68" t="e">
        <f t="shared" si="23"/>
        <v>#DIV/0!</v>
      </c>
    </row>
    <row r="94" spans="1:22" x14ac:dyDescent="0.3">
      <c r="A94" s="61" t="s">
        <v>384</v>
      </c>
      <c r="B94" s="62" t="s">
        <v>234</v>
      </c>
      <c r="C94" s="62" t="s">
        <v>235</v>
      </c>
      <c r="D94" s="62" t="s">
        <v>281</v>
      </c>
      <c r="E94" s="63" t="s">
        <v>392</v>
      </c>
      <c r="F94" s="62" t="s">
        <v>270</v>
      </c>
      <c r="G94" s="62" t="s">
        <v>187</v>
      </c>
      <c r="H94" s="62" t="s">
        <v>10</v>
      </c>
      <c r="I94" s="62" t="s">
        <v>163</v>
      </c>
      <c r="J94" s="62" t="s">
        <v>239</v>
      </c>
      <c r="K94" s="62" t="s">
        <v>234</v>
      </c>
      <c r="L94" s="64">
        <v>4</v>
      </c>
      <c r="M94" s="64">
        <f t="shared" si="18"/>
        <v>3.2941176470588234</v>
      </c>
      <c r="N94" s="65">
        <f>prodnorm15</f>
        <v>0</v>
      </c>
      <c r="O94" s="66">
        <f>dagwerk15</f>
        <v>0</v>
      </c>
      <c r="P94" s="62" t="s">
        <v>38</v>
      </c>
      <c r="Q94" s="67">
        <f>uurtarief15</f>
        <v>0</v>
      </c>
      <c r="R94" s="64" t="e">
        <f t="shared" si="19"/>
        <v>#DIV/0!</v>
      </c>
      <c r="S94" s="64" t="e">
        <f t="shared" si="20"/>
        <v>#DIV/0!</v>
      </c>
      <c r="T94" s="67" t="e">
        <f t="shared" si="21"/>
        <v>#DIV/0!</v>
      </c>
      <c r="U94" s="64" t="e">
        <f t="shared" si="22"/>
        <v>#DIV/0!</v>
      </c>
      <c r="V94" s="68" t="e">
        <f t="shared" si="23"/>
        <v>#DIV/0!</v>
      </c>
    </row>
    <row r="95" spans="1:22" x14ac:dyDescent="0.3">
      <c r="A95" s="61" t="s">
        <v>384</v>
      </c>
      <c r="B95" s="62" t="s">
        <v>234</v>
      </c>
      <c r="C95" s="62" t="s">
        <v>235</v>
      </c>
      <c r="D95" s="62" t="s">
        <v>393</v>
      </c>
      <c r="E95" s="63" t="s">
        <v>391</v>
      </c>
      <c r="F95" s="62" t="s">
        <v>270</v>
      </c>
      <c r="G95" s="62" t="s">
        <v>203</v>
      </c>
      <c r="H95" s="62" t="s">
        <v>10</v>
      </c>
      <c r="I95" s="62" t="s">
        <v>163</v>
      </c>
      <c r="J95" s="62" t="s">
        <v>246</v>
      </c>
      <c r="K95" s="62" t="s">
        <v>234</v>
      </c>
      <c r="L95" s="64">
        <v>2</v>
      </c>
      <c r="M95" s="64">
        <f t="shared" si="18"/>
        <v>1.6470588235294117</v>
      </c>
      <c r="N95" s="65">
        <f>prodnorm24</f>
        <v>0</v>
      </c>
      <c r="O95" s="66">
        <f>dagwerk24</f>
        <v>0</v>
      </c>
      <c r="P95" s="62" t="s">
        <v>38</v>
      </c>
      <c r="Q95" s="67">
        <f>uurtarief24</f>
        <v>0</v>
      </c>
      <c r="R95" s="64" t="e">
        <f t="shared" si="19"/>
        <v>#DIV/0!</v>
      </c>
      <c r="S95" s="64" t="e">
        <f t="shared" si="20"/>
        <v>#DIV/0!</v>
      </c>
      <c r="T95" s="67" t="e">
        <f t="shared" si="21"/>
        <v>#DIV/0!</v>
      </c>
      <c r="U95" s="64" t="e">
        <f t="shared" si="22"/>
        <v>#DIV/0!</v>
      </c>
      <c r="V95" s="68" t="e">
        <f t="shared" si="23"/>
        <v>#DIV/0!</v>
      </c>
    </row>
    <row r="96" spans="1:22" x14ac:dyDescent="0.3">
      <c r="A96" s="61" t="s">
        <v>384</v>
      </c>
      <c r="B96" s="62" t="s">
        <v>234</v>
      </c>
      <c r="C96" s="62" t="s">
        <v>235</v>
      </c>
      <c r="D96" s="62" t="s">
        <v>283</v>
      </c>
      <c r="E96" s="63" t="s">
        <v>394</v>
      </c>
      <c r="F96" s="62" t="s">
        <v>270</v>
      </c>
      <c r="G96" s="62" t="s">
        <v>201</v>
      </c>
      <c r="H96" s="62" t="s">
        <v>10</v>
      </c>
      <c r="I96" s="62" t="s">
        <v>163</v>
      </c>
      <c r="J96" s="62" t="s">
        <v>246</v>
      </c>
      <c r="K96" s="62" t="s">
        <v>234</v>
      </c>
      <c r="L96" s="64">
        <v>33</v>
      </c>
      <c r="M96" s="64">
        <f t="shared" si="18"/>
        <v>27.176470588235293</v>
      </c>
      <c r="N96" s="65">
        <f>prodnorm23</f>
        <v>0</v>
      </c>
      <c r="O96" s="66">
        <f>dagwerk23</f>
        <v>0</v>
      </c>
      <c r="P96" s="62" t="s">
        <v>38</v>
      </c>
      <c r="Q96" s="67">
        <f>uurtarief23</f>
        <v>0</v>
      </c>
      <c r="R96" s="64" t="e">
        <f t="shared" si="19"/>
        <v>#DIV/0!</v>
      </c>
      <c r="S96" s="64" t="e">
        <f t="shared" si="20"/>
        <v>#DIV/0!</v>
      </c>
      <c r="T96" s="67" t="e">
        <f t="shared" si="21"/>
        <v>#DIV/0!</v>
      </c>
      <c r="U96" s="64" t="e">
        <f t="shared" si="22"/>
        <v>#DIV/0!</v>
      </c>
      <c r="V96" s="68" t="e">
        <f t="shared" si="23"/>
        <v>#DIV/0!</v>
      </c>
    </row>
    <row r="97" spans="1:22" x14ac:dyDescent="0.3">
      <c r="A97" s="61" t="s">
        <v>384</v>
      </c>
      <c r="B97" s="62" t="s">
        <v>234</v>
      </c>
      <c r="C97" s="62" t="s">
        <v>235</v>
      </c>
      <c r="D97" s="62" t="s">
        <v>395</v>
      </c>
      <c r="E97" s="63" t="s">
        <v>390</v>
      </c>
      <c r="F97" s="62" t="s">
        <v>270</v>
      </c>
      <c r="G97" s="62" t="s">
        <v>199</v>
      </c>
      <c r="H97" s="62" t="s">
        <v>10</v>
      </c>
      <c r="I97" s="62" t="s">
        <v>163</v>
      </c>
      <c r="J97" s="62" t="s">
        <v>246</v>
      </c>
      <c r="K97" s="62" t="s">
        <v>234</v>
      </c>
      <c r="L97" s="64">
        <v>20</v>
      </c>
      <c r="M97" s="64">
        <f t="shared" si="18"/>
        <v>16.470588235294116</v>
      </c>
      <c r="N97" s="65">
        <f>prodnorm22</f>
        <v>0</v>
      </c>
      <c r="O97" s="66">
        <f>dagwerk22</f>
        <v>0</v>
      </c>
      <c r="P97" s="62" t="s">
        <v>38</v>
      </c>
      <c r="Q97" s="67">
        <f>uurtarief22</f>
        <v>0</v>
      </c>
      <c r="R97" s="64" t="e">
        <f t="shared" si="19"/>
        <v>#DIV/0!</v>
      </c>
      <c r="S97" s="64" t="e">
        <f t="shared" si="20"/>
        <v>#DIV/0!</v>
      </c>
      <c r="T97" s="67" t="e">
        <f t="shared" si="21"/>
        <v>#DIV/0!</v>
      </c>
      <c r="U97" s="64" t="e">
        <f t="shared" si="22"/>
        <v>#DIV/0!</v>
      </c>
      <c r="V97" s="68" t="e">
        <f t="shared" si="23"/>
        <v>#DIV/0!</v>
      </c>
    </row>
    <row r="98" spans="1:22" x14ac:dyDescent="0.3">
      <c r="A98" s="61" t="s">
        <v>384</v>
      </c>
      <c r="B98" s="62" t="s">
        <v>234</v>
      </c>
      <c r="C98" s="62" t="s">
        <v>235</v>
      </c>
      <c r="D98" s="62" t="s">
        <v>396</v>
      </c>
      <c r="E98" s="63" t="s">
        <v>388</v>
      </c>
      <c r="F98" s="62" t="s">
        <v>270</v>
      </c>
      <c r="G98" s="62" t="s">
        <v>203</v>
      </c>
      <c r="H98" s="62" t="s">
        <v>10</v>
      </c>
      <c r="I98" s="62" t="s">
        <v>163</v>
      </c>
      <c r="J98" s="62" t="s">
        <v>246</v>
      </c>
      <c r="K98" s="62" t="s">
        <v>234</v>
      </c>
      <c r="L98" s="64">
        <v>12</v>
      </c>
      <c r="M98" s="64">
        <f t="shared" si="18"/>
        <v>9.882352941176471</v>
      </c>
      <c r="N98" s="65">
        <f>prodnorm24</f>
        <v>0</v>
      </c>
      <c r="O98" s="66">
        <f>dagwerk24</f>
        <v>0</v>
      </c>
      <c r="P98" s="62" t="s">
        <v>38</v>
      </c>
      <c r="Q98" s="67">
        <f>uurtarief24</f>
        <v>0</v>
      </c>
      <c r="R98" s="64" t="e">
        <f t="shared" si="19"/>
        <v>#DIV/0!</v>
      </c>
      <c r="S98" s="64" t="e">
        <f t="shared" si="20"/>
        <v>#DIV/0!</v>
      </c>
      <c r="T98" s="67" t="e">
        <f t="shared" si="21"/>
        <v>#DIV/0!</v>
      </c>
      <c r="U98" s="64" t="e">
        <f t="shared" si="22"/>
        <v>#DIV/0!</v>
      </c>
      <c r="V98" s="68" t="e">
        <f t="shared" si="23"/>
        <v>#DIV/0!</v>
      </c>
    </row>
    <row r="99" spans="1:22" x14ac:dyDescent="0.3">
      <c r="A99" s="61" t="s">
        <v>384</v>
      </c>
      <c r="B99" s="62" t="s">
        <v>234</v>
      </c>
      <c r="C99" s="62" t="s">
        <v>235</v>
      </c>
      <c r="D99" s="62" t="s">
        <v>291</v>
      </c>
      <c r="E99" s="63" t="s">
        <v>388</v>
      </c>
      <c r="F99" s="62" t="s">
        <v>270</v>
      </c>
      <c r="G99" s="62" t="s">
        <v>203</v>
      </c>
      <c r="H99" s="62" t="s">
        <v>10</v>
      </c>
      <c r="I99" s="62" t="s">
        <v>163</v>
      </c>
      <c r="J99" s="62" t="s">
        <v>246</v>
      </c>
      <c r="K99" s="62" t="s">
        <v>234</v>
      </c>
      <c r="L99" s="64">
        <v>6</v>
      </c>
      <c r="M99" s="64">
        <f t="shared" si="18"/>
        <v>4.9411764705882355</v>
      </c>
      <c r="N99" s="65">
        <f>prodnorm24</f>
        <v>0</v>
      </c>
      <c r="O99" s="66">
        <f>dagwerk24</f>
        <v>0</v>
      </c>
      <c r="P99" s="62" t="s">
        <v>38</v>
      </c>
      <c r="Q99" s="67">
        <f>uurtarief24</f>
        <v>0</v>
      </c>
      <c r="R99" s="64" t="e">
        <f t="shared" si="19"/>
        <v>#DIV/0!</v>
      </c>
      <c r="S99" s="64" t="e">
        <f t="shared" si="20"/>
        <v>#DIV/0!</v>
      </c>
      <c r="T99" s="67" t="e">
        <f t="shared" si="21"/>
        <v>#DIV/0!</v>
      </c>
      <c r="U99" s="64" t="e">
        <f t="shared" si="22"/>
        <v>#DIV/0!</v>
      </c>
      <c r="V99" s="68" t="e">
        <f t="shared" si="23"/>
        <v>#DIV/0!</v>
      </c>
    </row>
    <row r="100" spans="1:22" x14ac:dyDescent="0.3">
      <c r="A100" s="61" t="s">
        <v>384</v>
      </c>
      <c r="B100" s="62" t="s">
        <v>234</v>
      </c>
      <c r="C100" s="62" t="s">
        <v>235</v>
      </c>
      <c r="D100" s="62" t="s">
        <v>293</v>
      </c>
      <c r="E100" s="63" t="s">
        <v>388</v>
      </c>
      <c r="F100" s="62" t="s">
        <v>270</v>
      </c>
      <c r="G100" s="62" t="s">
        <v>203</v>
      </c>
      <c r="H100" s="62" t="s">
        <v>10</v>
      </c>
      <c r="I100" s="62" t="s">
        <v>163</v>
      </c>
      <c r="J100" s="62" t="s">
        <v>246</v>
      </c>
      <c r="K100" s="62" t="s">
        <v>234</v>
      </c>
      <c r="L100" s="64">
        <v>6</v>
      </c>
      <c r="M100" s="64">
        <f t="shared" si="18"/>
        <v>4.9411764705882355</v>
      </c>
      <c r="N100" s="65">
        <f>prodnorm24</f>
        <v>0</v>
      </c>
      <c r="O100" s="66">
        <f>dagwerk24</f>
        <v>0</v>
      </c>
      <c r="P100" s="62" t="s">
        <v>38</v>
      </c>
      <c r="Q100" s="67">
        <f>uurtarief24</f>
        <v>0</v>
      </c>
      <c r="R100" s="64" t="e">
        <f t="shared" si="19"/>
        <v>#DIV/0!</v>
      </c>
      <c r="S100" s="64" t="e">
        <f t="shared" si="20"/>
        <v>#DIV/0!</v>
      </c>
      <c r="T100" s="67" t="e">
        <f t="shared" si="21"/>
        <v>#DIV/0!</v>
      </c>
      <c r="U100" s="64" t="e">
        <f t="shared" si="22"/>
        <v>#DIV/0!</v>
      </c>
      <c r="V100" s="68" t="e">
        <f t="shared" si="23"/>
        <v>#DIV/0!</v>
      </c>
    </row>
    <row r="101" spans="1:22" x14ac:dyDescent="0.3">
      <c r="A101" s="61" t="s">
        <v>384</v>
      </c>
      <c r="B101" s="62" t="s">
        <v>234</v>
      </c>
      <c r="C101" s="62" t="s">
        <v>235</v>
      </c>
      <c r="D101" s="62" t="s">
        <v>295</v>
      </c>
      <c r="E101" s="63" t="s">
        <v>391</v>
      </c>
      <c r="F101" s="62" t="s">
        <v>270</v>
      </c>
      <c r="G101" s="62" t="s">
        <v>203</v>
      </c>
      <c r="H101" s="62" t="s">
        <v>10</v>
      </c>
      <c r="I101" s="62" t="s">
        <v>163</v>
      </c>
      <c r="J101" s="62" t="s">
        <v>246</v>
      </c>
      <c r="K101" s="62" t="s">
        <v>234</v>
      </c>
      <c r="L101" s="64">
        <v>5</v>
      </c>
      <c r="M101" s="64">
        <f t="shared" si="18"/>
        <v>4.117647058823529</v>
      </c>
      <c r="N101" s="65">
        <f>prodnorm24</f>
        <v>0</v>
      </c>
      <c r="O101" s="66">
        <f>dagwerk24</f>
        <v>0</v>
      </c>
      <c r="P101" s="62" t="s">
        <v>38</v>
      </c>
      <c r="Q101" s="67">
        <f>uurtarief24</f>
        <v>0</v>
      </c>
      <c r="R101" s="64" t="e">
        <f t="shared" si="19"/>
        <v>#DIV/0!</v>
      </c>
      <c r="S101" s="64" t="e">
        <f t="shared" si="20"/>
        <v>#DIV/0!</v>
      </c>
      <c r="T101" s="67" t="e">
        <f t="shared" si="21"/>
        <v>#DIV/0!</v>
      </c>
      <c r="U101" s="64" t="e">
        <f t="shared" si="22"/>
        <v>#DIV/0!</v>
      </c>
      <c r="V101" s="68" t="e">
        <f t="shared" si="23"/>
        <v>#DIV/0!</v>
      </c>
    </row>
    <row r="102" spans="1:22" x14ac:dyDescent="0.3">
      <c r="A102" s="61" t="s">
        <v>384</v>
      </c>
      <c r="B102" s="62" t="s">
        <v>234</v>
      </c>
      <c r="C102" s="62" t="s">
        <v>235</v>
      </c>
      <c r="D102" s="62" t="s">
        <v>297</v>
      </c>
      <c r="E102" s="63" t="s">
        <v>394</v>
      </c>
      <c r="F102" s="62" t="s">
        <v>270</v>
      </c>
      <c r="G102" s="62" t="s">
        <v>201</v>
      </c>
      <c r="H102" s="62" t="s">
        <v>10</v>
      </c>
      <c r="I102" s="62" t="s">
        <v>163</v>
      </c>
      <c r="J102" s="62" t="s">
        <v>246</v>
      </c>
      <c r="K102" s="62" t="s">
        <v>234</v>
      </c>
      <c r="L102" s="64">
        <v>33</v>
      </c>
      <c r="M102" s="64">
        <f t="shared" si="18"/>
        <v>27.176470588235293</v>
      </c>
      <c r="N102" s="65">
        <f>prodnorm23</f>
        <v>0</v>
      </c>
      <c r="O102" s="66">
        <f>dagwerk23</f>
        <v>0</v>
      </c>
      <c r="P102" s="62" t="s">
        <v>38</v>
      </c>
      <c r="Q102" s="67">
        <f>uurtarief23</f>
        <v>0</v>
      </c>
      <c r="R102" s="64" t="e">
        <f t="shared" si="19"/>
        <v>#DIV/0!</v>
      </c>
      <c r="S102" s="64" t="e">
        <f t="shared" si="20"/>
        <v>#DIV/0!</v>
      </c>
      <c r="T102" s="67" t="e">
        <f t="shared" si="21"/>
        <v>#DIV/0!</v>
      </c>
      <c r="U102" s="64" t="e">
        <f t="shared" si="22"/>
        <v>#DIV/0!</v>
      </c>
      <c r="V102" s="68" t="e">
        <f t="shared" si="23"/>
        <v>#DIV/0!</v>
      </c>
    </row>
    <row r="103" spans="1:22" x14ac:dyDescent="0.3">
      <c r="A103" s="61" t="s">
        <v>384</v>
      </c>
      <c r="B103" s="62" t="s">
        <v>234</v>
      </c>
      <c r="C103" s="62" t="s">
        <v>235</v>
      </c>
      <c r="D103" s="62" t="s">
        <v>299</v>
      </c>
      <c r="E103" s="63" t="s">
        <v>390</v>
      </c>
      <c r="F103" s="62" t="s">
        <v>270</v>
      </c>
      <c r="G103" s="62" t="s">
        <v>199</v>
      </c>
      <c r="H103" s="62" t="s">
        <v>10</v>
      </c>
      <c r="I103" s="62" t="s">
        <v>163</v>
      </c>
      <c r="J103" s="62" t="s">
        <v>246</v>
      </c>
      <c r="K103" s="62" t="s">
        <v>234</v>
      </c>
      <c r="L103" s="64">
        <v>20</v>
      </c>
      <c r="M103" s="64">
        <f t="shared" si="18"/>
        <v>16.470588235294116</v>
      </c>
      <c r="N103" s="65">
        <f>prodnorm22</f>
        <v>0</v>
      </c>
      <c r="O103" s="66">
        <f>dagwerk22</f>
        <v>0</v>
      </c>
      <c r="P103" s="62" t="s">
        <v>38</v>
      </c>
      <c r="Q103" s="67">
        <f>uurtarief22</f>
        <v>0</v>
      </c>
      <c r="R103" s="64" t="e">
        <f t="shared" si="19"/>
        <v>#DIV/0!</v>
      </c>
      <c r="S103" s="64" t="e">
        <f t="shared" si="20"/>
        <v>#DIV/0!</v>
      </c>
      <c r="T103" s="67" t="e">
        <f t="shared" si="21"/>
        <v>#DIV/0!</v>
      </c>
      <c r="U103" s="64" t="e">
        <f t="shared" si="22"/>
        <v>#DIV/0!</v>
      </c>
      <c r="V103" s="68" t="e">
        <f t="shared" si="23"/>
        <v>#DIV/0!</v>
      </c>
    </row>
    <row r="104" spans="1:22" x14ac:dyDescent="0.3">
      <c r="A104" s="61" t="s">
        <v>384</v>
      </c>
      <c r="B104" s="62" t="s">
        <v>234</v>
      </c>
      <c r="C104" s="62" t="s">
        <v>235</v>
      </c>
      <c r="D104" s="62" t="s">
        <v>301</v>
      </c>
      <c r="E104" s="63" t="s">
        <v>388</v>
      </c>
      <c r="F104" s="62" t="s">
        <v>270</v>
      </c>
      <c r="G104" s="62" t="s">
        <v>203</v>
      </c>
      <c r="H104" s="62" t="s">
        <v>10</v>
      </c>
      <c r="I104" s="62" t="s">
        <v>163</v>
      </c>
      <c r="J104" s="62" t="s">
        <v>246</v>
      </c>
      <c r="K104" s="62" t="s">
        <v>234</v>
      </c>
      <c r="L104" s="64">
        <v>12</v>
      </c>
      <c r="M104" s="64">
        <f t="shared" si="18"/>
        <v>9.882352941176471</v>
      </c>
      <c r="N104" s="65">
        <f>prodnorm24</f>
        <v>0</v>
      </c>
      <c r="O104" s="66">
        <f>dagwerk24</f>
        <v>0</v>
      </c>
      <c r="P104" s="62" t="s">
        <v>38</v>
      </c>
      <c r="Q104" s="67">
        <f>uurtarief24</f>
        <v>0</v>
      </c>
      <c r="R104" s="64" t="e">
        <f t="shared" si="19"/>
        <v>#DIV/0!</v>
      </c>
      <c r="S104" s="64" t="e">
        <f t="shared" si="20"/>
        <v>#DIV/0!</v>
      </c>
      <c r="T104" s="67" t="e">
        <f t="shared" si="21"/>
        <v>#DIV/0!</v>
      </c>
      <c r="U104" s="64" t="e">
        <f t="shared" si="22"/>
        <v>#DIV/0!</v>
      </c>
      <c r="V104" s="68" t="e">
        <f t="shared" si="23"/>
        <v>#DIV/0!</v>
      </c>
    </row>
    <row r="105" spans="1:22" x14ac:dyDescent="0.3">
      <c r="A105" s="61" t="s">
        <v>384</v>
      </c>
      <c r="B105" s="62" t="s">
        <v>234</v>
      </c>
      <c r="C105" s="62" t="s">
        <v>235</v>
      </c>
      <c r="D105" s="62" t="s">
        <v>303</v>
      </c>
      <c r="E105" s="63" t="s">
        <v>397</v>
      </c>
      <c r="F105" s="62" t="s">
        <v>398</v>
      </c>
      <c r="G105" s="62" t="s">
        <v>195</v>
      </c>
      <c r="H105" s="62" t="s">
        <v>13</v>
      </c>
      <c r="I105" s="62" t="s">
        <v>163</v>
      </c>
      <c r="J105" s="62" t="s">
        <v>273</v>
      </c>
      <c r="K105" s="62" t="s">
        <v>234</v>
      </c>
      <c r="L105" s="64">
        <v>70</v>
      </c>
      <c r="M105" s="64">
        <f t="shared" si="18"/>
        <v>28.823529411764703</v>
      </c>
      <c r="N105" s="65">
        <f>prodnorm20</f>
        <v>0</v>
      </c>
      <c r="O105" s="66">
        <f>dagwerk20</f>
        <v>0</v>
      </c>
      <c r="P105" s="62" t="s">
        <v>38</v>
      </c>
      <c r="Q105" s="67">
        <f>uurtarief20</f>
        <v>0</v>
      </c>
      <c r="R105" s="64" t="e">
        <f t="shared" si="19"/>
        <v>#DIV/0!</v>
      </c>
      <c r="S105" s="64" t="e">
        <f t="shared" si="20"/>
        <v>#DIV/0!</v>
      </c>
      <c r="T105" s="67" t="e">
        <f t="shared" si="21"/>
        <v>#DIV/0!</v>
      </c>
      <c r="U105" s="64" t="e">
        <f t="shared" si="22"/>
        <v>#DIV/0!</v>
      </c>
      <c r="V105" s="68" t="e">
        <f t="shared" si="23"/>
        <v>#DIV/0!</v>
      </c>
    </row>
    <row r="106" spans="1:22" x14ac:dyDescent="0.3">
      <c r="A106" s="61" t="s">
        <v>384</v>
      </c>
      <c r="B106" s="62" t="s">
        <v>234</v>
      </c>
      <c r="C106" s="62" t="s">
        <v>235</v>
      </c>
      <c r="D106" s="62" t="s">
        <v>305</v>
      </c>
      <c r="E106" s="63" t="s">
        <v>399</v>
      </c>
      <c r="F106" s="62" t="s">
        <v>398</v>
      </c>
      <c r="G106" s="62" t="s">
        <v>189</v>
      </c>
      <c r="H106" s="62" t="s">
        <v>10</v>
      </c>
      <c r="I106" s="62" t="s">
        <v>163</v>
      </c>
      <c r="J106" s="62" t="s">
        <v>273</v>
      </c>
      <c r="K106" s="62" t="s">
        <v>234</v>
      </c>
      <c r="L106" s="64">
        <v>102</v>
      </c>
      <c r="M106" s="64">
        <f t="shared" si="18"/>
        <v>84</v>
      </c>
      <c r="N106" s="65">
        <f>prodnorm16</f>
        <v>0</v>
      </c>
      <c r="O106" s="66">
        <f>dagwerk16</f>
        <v>0</v>
      </c>
      <c r="P106" s="62" t="s">
        <v>38</v>
      </c>
      <c r="Q106" s="67">
        <f>uurtarief16</f>
        <v>0</v>
      </c>
      <c r="R106" s="64" t="e">
        <f t="shared" si="19"/>
        <v>#DIV/0!</v>
      </c>
      <c r="S106" s="64" t="e">
        <f t="shared" si="20"/>
        <v>#DIV/0!</v>
      </c>
      <c r="T106" s="67" t="e">
        <f t="shared" si="21"/>
        <v>#DIV/0!</v>
      </c>
      <c r="U106" s="64" t="e">
        <f t="shared" si="22"/>
        <v>#DIV/0!</v>
      </c>
      <c r="V106" s="68" t="e">
        <f t="shared" si="23"/>
        <v>#DIV/0!</v>
      </c>
    </row>
    <row r="107" spans="1:22" x14ac:dyDescent="0.3">
      <c r="A107" s="61" t="s">
        <v>384</v>
      </c>
      <c r="B107" s="62" t="s">
        <v>234</v>
      </c>
      <c r="C107" s="62" t="s">
        <v>235</v>
      </c>
      <c r="D107" s="62" t="s">
        <v>307</v>
      </c>
      <c r="E107" s="63" t="s">
        <v>400</v>
      </c>
      <c r="F107" s="62" t="s">
        <v>398</v>
      </c>
      <c r="G107" s="62" t="s">
        <v>189</v>
      </c>
      <c r="H107" s="62" t="s">
        <v>10</v>
      </c>
      <c r="I107" s="62" t="s">
        <v>163</v>
      </c>
      <c r="J107" s="62" t="s">
        <v>273</v>
      </c>
      <c r="K107" s="62" t="s">
        <v>234</v>
      </c>
      <c r="L107" s="64">
        <v>119</v>
      </c>
      <c r="M107" s="64">
        <f t="shared" si="18"/>
        <v>98</v>
      </c>
      <c r="N107" s="65">
        <f>prodnorm16</f>
        <v>0</v>
      </c>
      <c r="O107" s="66">
        <f>dagwerk16</f>
        <v>0</v>
      </c>
      <c r="P107" s="62" t="s">
        <v>38</v>
      </c>
      <c r="Q107" s="67">
        <f>uurtarief16</f>
        <v>0</v>
      </c>
      <c r="R107" s="64" t="e">
        <f t="shared" si="19"/>
        <v>#DIV/0!</v>
      </c>
      <c r="S107" s="64" t="e">
        <f t="shared" si="20"/>
        <v>#DIV/0!</v>
      </c>
      <c r="T107" s="67" t="e">
        <f t="shared" si="21"/>
        <v>#DIV/0!</v>
      </c>
      <c r="U107" s="64" t="e">
        <f t="shared" si="22"/>
        <v>#DIV/0!</v>
      </c>
      <c r="V107" s="68" t="e">
        <f t="shared" si="23"/>
        <v>#DIV/0!</v>
      </c>
    </row>
    <row r="108" spans="1:22" x14ac:dyDescent="0.3">
      <c r="A108" s="61" t="s">
        <v>384</v>
      </c>
      <c r="B108" s="62" t="s">
        <v>234</v>
      </c>
      <c r="C108" s="62" t="s">
        <v>235</v>
      </c>
      <c r="D108" s="62" t="s">
        <v>311</v>
      </c>
      <c r="E108" s="63" t="s">
        <v>401</v>
      </c>
      <c r="F108" s="62" t="s">
        <v>398</v>
      </c>
      <c r="G108" s="62" t="s">
        <v>179</v>
      </c>
      <c r="H108" s="62" t="s">
        <v>10</v>
      </c>
      <c r="I108" s="62" t="s">
        <v>163</v>
      </c>
      <c r="J108" s="62" t="s">
        <v>273</v>
      </c>
      <c r="K108" s="62" t="s">
        <v>234</v>
      </c>
      <c r="L108" s="64">
        <v>63</v>
      </c>
      <c r="M108" s="64">
        <f t="shared" si="18"/>
        <v>51.882352941176471</v>
      </c>
      <c r="N108" s="65">
        <f>prodnorm11</f>
        <v>0</v>
      </c>
      <c r="O108" s="66">
        <f>dagwerk11</f>
        <v>0</v>
      </c>
      <c r="P108" s="62" t="s">
        <v>38</v>
      </c>
      <c r="Q108" s="67">
        <f>uurtarief11</f>
        <v>0</v>
      </c>
      <c r="R108" s="64" t="e">
        <f t="shared" si="19"/>
        <v>#DIV/0!</v>
      </c>
      <c r="S108" s="64" t="e">
        <f t="shared" si="20"/>
        <v>#DIV/0!</v>
      </c>
      <c r="T108" s="67" t="e">
        <f t="shared" si="21"/>
        <v>#DIV/0!</v>
      </c>
      <c r="U108" s="64" t="e">
        <f t="shared" si="22"/>
        <v>#DIV/0!</v>
      </c>
      <c r="V108" s="68" t="e">
        <f t="shared" si="23"/>
        <v>#DIV/0!</v>
      </c>
    </row>
    <row r="109" spans="1:22" x14ac:dyDescent="0.3">
      <c r="A109" s="61" t="s">
        <v>384</v>
      </c>
      <c r="B109" s="62" t="s">
        <v>234</v>
      </c>
      <c r="C109" s="62" t="s">
        <v>235</v>
      </c>
      <c r="D109" s="62" t="s">
        <v>402</v>
      </c>
      <c r="E109" s="63" t="s">
        <v>251</v>
      </c>
      <c r="F109" s="62" t="s">
        <v>252</v>
      </c>
      <c r="G109" s="62" t="s">
        <v>171</v>
      </c>
      <c r="H109" s="62" t="s">
        <v>10</v>
      </c>
      <c r="I109" s="62" t="s">
        <v>163</v>
      </c>
      <c r="J109" s="62" t="s">
        <v>239</v>
      </c>
      <c r="K109" s="62" t="s">
        <v>234</v>
      </c>
      <c r="L109" s="64">
        <v>413</v>
      </c>
      <c r="M109" s="64">
        <f t="shared" si="18"/>
        <v>340.11764705882354</v>
      </c>
      <c r="N109" s="65">
        <f>prodnorm6</f>
        <v>0</v>
      </c>
      <c r="O109" s="66">
        <f>dagwerk6</f>
        <v>0</v>
      </c>
      <c r="P109" s="62" t="s">
        <v>38</v>
      </c>
      <c r="Q109" s="67">
        <f>uurtarief6</f>
        <v>0</v>
      </c>
      <c r="R109" s="64" t="e">
        <f t="shared" si="19"/>
        <v>#DIV/0!</v>
      </c>
      <c r="S109" s="64" t="e">
        <f t="shared" si="20"/>
        <v>#DIV/0!</v>
      </c>
      <c r="T109" s="67" t="e">
        <f t="shared" si="21"/>
        <v>#DIV/0!</v>
      </c>
      <c r="U109" s="64" t="e">
        <f t="shared" si="22"/>
        <v>#DIV/0!</v>
      </c>
      <c r="V109" s="68" t="e">
        <f t="shared" si="23"/>
        <v>#DIV/0!</v>
      </c>
    </row>
    <row r="110" spans="1:22" x14ac:dyDescent="0.3">
      <c r="A110" s="61" t="s">
        <v>384</v>
      </c>
      <c r="B110" s="62" t="s">
        <v>234</v>
      </c>
      <c r="C110" s="62" t="s">
        <v>235</v>
      </c>
      <c r="D110" s="62" t="s">
        <v>317</v>
      </c>
      <c r="E110" s="63" t="s">
        <v>403</v>
      </c>
      <c r="F110" s="62" t="s">
        <v>252</v>
      </c>
      <c r="G110" s="62" t="s">
        <v>169</v>
      </c>
      <c r="H110" s="62" t="s">
        <v>10</v>
      </c>
      <c r="I110" s="62" t="s">
        <v>163</v>
      </c>
      <c r="J110" s="62" t="s">
        <v>239</v>
      </c>
      <c r="K110" s="62" t="s">
        <v>234</v>
      </c>
      <c r="L110" s="64">
        <v>85</v>
      </c>
      <c r="M110" s="64">
        <f t="shared" si="18"/>
        <v>70</v>
      </c>
      <c r="N110" s="65">
        <f>prodnorm4</f>
        <v>0</v>
      </c>
      <c r="O110" s="66">
        <f>dagwerk4</f>
        <v>0</v>
      </c>
      <c r="P110" s="62" t="s">
        <v>38</v>
      </c>
      <c r="Q110" s="67">
        <f>uurtarief4</f>
        <v>0</v>
      </c>
      <c r="R110" s="64" t="e">
        <f t="shared" si="19"/>
        <v>#DIV/0!</v>
      </c>
      <c r="S110" s="64" t="e">
        <f t="shared" si="20"/>
        <v>#DIV/0!</v>
      </c>
      <c r="T110" s="67" t="e">
        <f t="shared" si="21"/>
        <v>#DIV/0!</v>
      </c>
      <c r="U110" s="64" t="e">
        <f t="shared" si="22"/>
        <v>#DIV/0!</v>
      </c>
      <c r="V110" s="68" t="e">
        <f t="shared" si="23"/>
        <v>#DIV/0!</v>
      </c>
    </row>
    <row r="111" spans="1:22" x14ac:dyDescent="0.3">
      <c r="A111" s="61" t="s">
        <v>384</v>
      </c>
      <c r="B111" s="62" t="s">
        <v>234</v>
      </c>
      <c r="C111" s="62" t="s">
        <v>235</v>
      </c>
      <c r="D111" s="62" t="s">
        <v>322</v>
      </c>
      <c r="E111" s="63" t="s">
        <v>404</v>
      </c>
      <c r="F111" s="62" t="s">
        <v>329</v>
      </c>
      <c r="G111" s="62" t="s">
        <v>167</v>
      </c>
      <c r="H111" s="62" t="s">
        <v>10</v>
      </c>
      <c r="I111" s="62" t="s">
        <v>163</v>
      </c>
      <c r="J111" s="62" t="s">
        <v>239</v>
      </c>
      <c r="K111" s="62" t="s">
        <v>234</v>
      </c>
      <c r="L111" s="64">
        <v>260</v>
      </c>
      <c r="M111" s="64">
        <f t="shared" si="18"/>
        <v>214.11764705882351</v>
      </c>
      <c r="N111" s="65">
        <f t="shared" ref="N111:N116" si="27">prodnorm3</f>
        <v>0</v>
      </c>
      <c r="O111" s="66">
        <f t="shared" ref="O111:O116" si="28">dagwerk3</f>
        <v>0</v>
      </c>
      <c r="P111" s="62" t="s">
        <v>38</v>
      </c>
      <c r="Q111" s="67">
        <f t="shared" ref="Q111:Q116" si="29">uurtarief3</f>
        <v>0</v>
      </c>
      <c r="R111" s="64" t="e">
        <f t="shared" si="19"/>
        <v>#DIV/0!</v>
      </c>
      <c r="S111" s="64" t="e">
        <f t="shared" si="20"/>
        <v>#DIV/0!</v>
      </c>
      <c r="T111" s="67" t="e">
        <f t="shared" si="21"/>
        <v>#DIV/0!</v>
      </c>
      <c r="U111" s="64" t="e">
        <f t="shared" si="22"/>
        <v>#DIV/0!</v>
      </c>
      <c r="V111" s="68" t="e">
        <f t="shared" si="23"/>
        <v>#DIV/0!</v>
      </c>
    </row>
    <row r="112" spans="1:22" x14ac:dyDescent="0.3">
      <c r="A112" s="61" t="s">
        <v>384</v>
      </c>
      <c r="B112" s="62" t="s">
        <v>234</v>
      </c>
      <c r="C112" s="62" t="s">
        <v>235</v>
      </c>
      <c r="D112" s="62" t="s">
        <v>405</v>
      </c>
      <c r="E112" s="63" t="s">
        <v>406</v>
      </c>
      <c r="F112" s="62" t="s">
        <v>329</v>
      </c>
      <c r="G112" s="62" t="s">
        <v>167</v>
      </c>
      <c r="H112" s="62" t="s">
        <v>10</v>
      </c>
      <c r="I112" s="62" t="s">
        <v>163</v>
      </c>
      <c r="J112" s="62" t="s">
        <v>239</v>
      </c>
      <c r="K112" s="62" t="s">
        <v>234</v>
      </c>
      <c r="L112" s="64">
        <v>33</v>
      </c>
      <c r="M112" s="64">
        <f t="shared" si="18"/>
        <v>27.176470588235293</v>
      </c>
      <c r="N112" s="65">
        <f t="shared" si="27"/>
        <v>0</v>
      </c>
      <c r="O112" s="66">
        <f t="shared" si="28"/>
        <v>0</v>
      </c>
      <c r="P112" s="62" t="s">
        <v>38</v>
      </c>
      <c r="Q112" s="67">
        <f t="shared" si="29"/>
        <v>0</v>
      </c>
      <c r="R112" s="64" t="e">
        <f t="shared" si="19"/>
        <v>#DIV/0!</v>
      </c>
      <c r="S112" s="64" t="e">
        <f t="shared" si="20"/>
        <v>#DIV/0!</v>
      </c>
      <c r="T112" s="67" t="e">
        <f t="shared" si="21"/>
        <v>#DIV/0!</v>
      </c>
      <c r="U112" s="64" t="e">
        <f t="shared" si="22"/>
        <v>#DIV/0!</v>
      </c>
      <c r="V112" s="68" t="e">
        <f t="shared" si="23"/>
        <v>#DIV/0!</v>
      </c>
    </row>
    <row r="113" spans="1:22" x14ac:dyDescent="0.3">
      <c r="A113" s="61" t="s">
        <v>384</v>
      </c>
      <c r="B113" s="62" t="s">
        <v>234</v>
      </c>
      <c r="C113" s="62" t="s">
        <v>235</v>
      </c>
      <c r="D113" s="62" t="s">
        <v>407</v>
      </c>
      <c r="E113" s="63" t="s">
        <v>404</v>
      </c>
      <c r="F113" s="62" t="s">
        <v>329</v>
      </c>
      <c r="G113" s="62" t="s">
        <v>167</v>
      </c>
      <c r="H113" s="62" t="s">
        <v>10</v>
      </c>
      <c r="I113" s="62" t="s">
        <v>163</v>
      </c>
      <c r="J113" s="62" t="s">
        <v>239</v>
      </c>
      <c r="K113" s="62" t="s">
        <v>234</v>
      </c>
      <c r="L113" s="64">
        <v>260</v>
      </c>
      <c r="M113" s="64">
        <f t="shared" si="18"/>
        <v>214.11764705882351</v>
      </c>
      <c r="N113" s="65">
        <f t="shared" si="27"/>
        <v>0</v>
      </c>
      <c r="O113" s="66">
        <f t="shared" si="28"/>
        <v>0</v>
      </c>
      <c r="P113" s="62" t="s">
        <v>38</v>
      </c>
      <c r="Q113" s="67">
        <f t="shared" si="29"/>
        <v>0</v>
      </c>
      <c r="R113" s="64" t="e">
        <f t="shared" si="19"/>
        <v>#DIV/0!</v>
      </c>
      <c r="S113" s="64" t="e">
        <f t="shared" si="20"/>
        <v>#DIV/0!</v>
      </c>
      <c r="T113" s="67" t="e">
        <f t="shared" si="21"/>
        <v>#DIV/0!</v>
      </c>
      <c r="U113" s="64" t="e">
        <f t="shared" si="22"/>
        <v>#DIV/0!</v>
      </c>
      <c r="V113" s="68" t="e">
        <f t="shared" si="23"/>
        <v>#DIV/0!</v>
      </c>
    </row>
    <row r="114" spans="1:22" x14ac:dyDescent="0.3">
      <c r="A114" s="61" t="s">
        <v>384</v>
      </c>
      <c r="B114" s="62" t="s">
        <v>234</v>
      </c>
      <c r="C114" s="62" t="s">
        <v>235</v>
      </c>
      <c r="D114" s="62" t="s">
        <v>408</v>
      </c>
      <c r="E114" s="63" t="s">
        <v>406</v>
      </c>
      <c r="F114" s="62" t="s">
        <v>329</v>
      </c>
      <c r="G114" s="62" t="s">
        <v>167</v>
      </c>
      <c r="H114" s="62" t="s">
        <v>10</v>
      </c>
      <c r="I114" s="62" t="s">
        <v>163</v>
      </c>
      <c r="J114" s="62" t="s">
        <v>239</v>
      </c>
      <c r="K114" s="62" t="s">
        <v>234</v>
      </c>
      <c r="L114" s="64">
        <v>33</v>
      </c>
      <c r="M114" s="64">
        <f t="shared" si="18"/>
        <v>27.176470588235293</v>
      </c>
      <c r="N114" s="65">
        <f t="shared" si="27"/>
        <v>0</v>
      </c>
      <c r="O114" s="66">
        <f t="shared" si="28"/>
        <v>0</v>
      </c>
      <c r="P114" s="62" t="s">
        <v>38</v>
      </c>
      <c r="Q114" s="67">
        <f t="shared" si="29"/>
        <v>0</v>
      </c>
      <c r="R114" s="64" t="e">
        <f t="shared" si="19"/>
        <v>#DIV/0!</v>
      </c>
      <c r="S114" s="64" t="e">
        <f t="shared" si="20"/>
        <v>#DIV/0!</v>
      </c>
      <c r="T114" s="67" t="e">
        <f t="shared" si="21"/>
        <v>#DIV/0!</v>
      </c>
      <c r="U114" s="64" t="e">
        <f t="shared" si="22"/>
        <v>#DIV/0!</v>
      </c>
      <c r="V114" s="68" t="e">
        <f t="shared" si="23"/>
        <v>#DIV/0!</v>
      </c>
    </row>
    <row r="115" spans="1:22" x14ac:dyDescent="0.3">
      <c r="A115" s="61" t="s">
        <v>384</v>
      </c>
      <c r="B115" s="62" t="s">
        <v>234</v>
      </c>
      <c r="C115" s="62" t="s">
        <v>235</v>
      </c>
      <c r="D115" s="62" t="s">
        <v>409</v>
      </c>
      <c r="E115" s="63" t="s">
        <v>404</v>
      </c>
      <c r="F115" s="62" t="s">
        <v>329</v>
      </c>
      <c r="G115" s="62" t="s">
        <v>167</v>
      </c>
      <c r="H115" s="62" t="s">
        <v>10</v>
      </c>
      <c r="I115" s="62" t="s">
        <v>163</v>
      </c>
      <c r="J115" s="62" t="s">
        <v>239</v>
      </c>
      <c r="K115" s="62" t="s">
        <v>234</v>
      </c>
      <c r="L115" s="64">
        <v>260</v>
      </c>
      <c r="M115" s="64">
        <f t="shared" ref="M115:M146" si="30">L115*VLOOKUP(H115,dagsoorttabel1,2,FALSE)</f>
        <v>214.11764705882351</v>
      </c>
      <c r="N115" s="65">
        <f t="shared" si="27"/>
        <v>0</v>
      </c>
      <c r="O115" s="66">
        <f t="shared" si="28"/>
        <v>0</v>
      </c>
      <c r="P115" s="62" t="s">
        <v>38</v>
      </c>
      <c r="Q115" s="67">
        <f t="shared" si="29"/>
        <v>0</v>
      </c>
      <c r="R115" s="64" t="e">
        <f t="shared" ref="R115:R146" si="31">IF(ISBLANK(N115),0,M115/ROUND(N115,4))</f>
        <v>#DIV/0!</v>
      </c>
      <c r="S115" s="64" t="e">
        <f t="shared" ref="S115:S146" si="32">IF(ISBLANK(N115),0,R115*ROUND(O115,2))</f>
        <v>#DIV/0!</v>
      </c>
      <c r="T115" s="67" t="e">
        <f t="shared" ref="T115:T146" si="33">ROUND(Q115,2)*R115</f>
        <v>#DIV/0!</v>
      </c>
      <c r="U115" s="64" t="e">
        <f t="shared" ref="U115:U146" si="34">R115*dagenperjaar1</f>
        <v>#DIV/0!</v>
      </c>
      <c r="V115" s="68" t="e">
        <f t="shared" ref="V115:V146" si="35">U115*ROUND(Q115,2)</f>
        <v>#DIV/0!</v>
      </c>
    </row>
    <row r="116" spans="1:22" x14ac:dyDescent="0.3">
      <c r="A116" s="61" t="s">
        <v>384</v>
      </c>
      <c r="B116" s="62" t="s">
        <v>234</v>
      </c>
      <c r="C116" s="62" t="s">
        <v>235</v>
      </c>
      <c r="D116" s="62" t="s">
        <v>334</v>
      </c>
      <c r="E116" s="63" t="s">
        <v>406</v>
      </c>
      <c r="F116" s="62" t="s">
        <v>329</v>
      </c>
      <c r="G116" s="62" t="s">
        <v>167</v>
      </c>
      <c r="H116" s="62" t="s">
        <v>10</v>
      </c>
      <c r="I116" s="62" t="s">
        <v>163</v>
      </c>
      <c r="J116" s="62" t="s">
        <v>239</v>
      </c>
      <c r="K116" s="62" t="s">
        <v>234</v>
      </c>
      <c r="L116" s="64">
        <v>33</v>
      </c>
      <c r="M116" s="64">
        <f t="shared" si="30"/>
        <v>27.176470588235293</v>
      </c>
      <c r="N116" s="65">
        <f t="shared" si="27"/>
        <v>0</v>
      </c>
      <c r="O116" s="66">
        <f t="shared" si="28"/>
        <v>0</v>
      </c>
      <c r="P116" s="62" t="s">
        <v>38</v>
      </c>
      <c r="Q116" s="67">
        <f t="shared" si="29"/>
        <v>0</v>
      </c>
      <c r="R116" s="64" t="e">
        <f t="shared" si="31"/>
        <v>#DIV/0!</v>
      </c>
      <c r="S116" s="64" t="e">
        <f t="shared" si="32"/>
        <v>#DIV/0!</v>
      </c>
      <c r="T116" s="67" t="e">
        <f t="shared" si="33"/>
        <v>#DIV/0!</v>
      </c>
      <c r="U116" s="64" t="e">
        <f t="shared" si="34"/>
        <v>#DIV/0!</v>
      </c>
      <c r="V116" s="68" t="e">
        <f t="shared" si="35"/>
        <v>#DIV/0!</v>
      </c>
    </row>
    <row r="117" spans="1:22" x14ac:dyDescent="0.3">
      <c r="A117" s="61" t="s">
        <v>384</v>
      </c>
      <c r="B117" s="62" t="s">
        <v>234</v>
      </c>
      <c r="C117" s="62" t="s">
        <v>235</v>
      </c>
      <c r="D117" s="62" t="s">
        <v>410</v>
      </c>
      <c r="E117" s="63" t="s">
        <v>411</v>
      </c>
      <c r="F117" s="62" t="s">
        <v>260</v>
      </c>
      <c r="G117" s="62" t="s">
        <v>165</v>
      </c>
      <c r="H117" s="62" t="s">
        <v>13</v>
      </c>
      <c r="I117" s="62" t="s">
        <v>163</v>
      </c>
      <c r="J117" s="62" t="s">
        <v>261</v>
      </c>
      <c r="K117" s="62" t="s">
        <v>234</v>
      </c>
      <c r="L117" s="64">
        <v>17</v>
      </c>
      <c r="M117" s="64">
        <f t="shared" si="30"/>
        <v>7</v>
      </c>
      <c r="N117" s="65">
        <f>prodnorm2</f>
        <v>0</v>
      </c>
      <c r="O117" s="66">
        <f>dagwerk2</f>
        <v>0</v>
      </c>
      <c r="P117" s="62" t="s">
        <v>38</v>
      </c>
      <c r="Q117" s="67">
        <f>uurtarief2</f>
        <v>0</v>
      </c>
      <c r="R117" s="64" t="e">
        <f t="shared" si="31"/>
        <v>#DIV/0!</v>
      </c>
      <c r="S117" s="64" t="e">
        <f t="shared" si="32"/>
        <v>#DIV/0!</v>
      </c>
      <c r="T117" s="67" t="e">
        <f t="shared" si="33"/>
        <v>#DIV/0!</v>
      </c>
      <c r="U117" s="64" t="e">
        <f t="shared" si="34"/>
        <v>#DIV/0!</v>
      </c>
      <c r="V117" s="68" t="e">
        <f t="shared" si="35"/>
        <v>#DIV/0!</v>
      </c>
    </row>
    <row r="118" spans="1:22" x14ac:dyDescent="0.3">
      <c r="A118" s="61" t="s">
        <v>384</v>
      </c>
      <c r="B118" s="62" t="s">
        <v>234</v>
      </c>
      <c r="C118" s="62" t="s">
        <v>235</v>
      </c>
      <c r="D118" s="62" t="s">
        <v>412</v>
      </c>
      <c r="E118" s="63" t="s">
        <v>413</v>
      </c>
      <c r="F118" s="62" t="s">
        <v>260</v>
      </c>
      <c r="G118" s="62" t="s">
        <v>165</v>
      </c>
      <c r="H118" s="62" t="s">
        <v>13</v>
      </c>
      <c r="I118" s="62" t="s">
        <v>163</v>
      </c>
      <c r="J118" s="62" t="s">
        <v>261</v>
      </c>
      <c r="K118" s="62" t="s">
        <v>234</v>
      </c>
      <c r="L118" s="64">
        <v>16</v>
      </c>
      <c r="M118" s="64">
        <f t="shared" si="30"/>
        <v>6.5882352941176467</v>
      </c>
      <c r="N118" s="65">
        <f>prodnorm2</f>
        <v>0</v>
      </c>
      <c r="O118" s="66">
        <f>dagwerk2</f>
        <v>0</v>
      </c>
      <c r="P118" s="62" t="s">
        <v>38</v>
      </c>
      <c r="Q118" s="67">
        <f>uurtarief2</f>
        <v>0</v>
      </c>
      <c r="R118" s="64" t="e">
        <f t="shared" si="31"/>
        <v>#DIV/0!</v>
      </c>
      <c r="S118" s="64" t="e">
        <f t="shared" si="32"/>
        <v>#DIV/0!</v>
      </c>
      <c r="T118" s="67" t="e">
        <f t="shared" si="33"/>
        <v>#DIV/0!</v>
      </c>
      <c r="U118" s="64" t="e">
        <f t="shared" si="34"/>
        <v>#DIV/0!</v>
      </c>
      <c r="V118" s="68" t="e">
        <f t="shared" si="35"/>
        <v>#DIV/0!</v>
      </c>
    </row>
    <row r="119" spans="1:22" x14ac:dyDescent="0.3">
      <c r="A119" s="61" t="s">
        <v>384</v>
      </c>
      <c r="B119" s="62" t="s">
        <v>234</v>
      </c>
      <c r="C119" s="62" t="s">
        <v>235</v>
      </c>
      <c r="D119" s="62" t="s">
        <v>414</v>
      </c>
      <c r="E119" s="63" t="s">
        <v>413</v>
      </c>
      <c r="F119" s="62" t="s">
        <v>260</v>
      </c>
      <c r="G119" s="62" t="s">
        <v>165</v>
      </c>
      <c r="H119" s="62" t="s">
        <v>13</v>
      </c>
      <c r="I119" s="62" t="s">
        <v>163</v>
      </c>
      <c r="J119" s="62" t="s">
        <v>261</v>
      </c>
      <c r="K119" s="62" t="s">
        <v>234</v>
      </c>
      <c r="L119" s="64">
        <v>19</v>
      </c>
      <c r="M119" s="64">
        <f t="shared" si="30"/>
        <v>7.8235294117647056</v>
      </c>
      <c r="N119" s="65">
        <f>prodnorm2</f>
        <v>0</v>
      </c>
      <c r="O119" s="66">
        <f>dagwerk2</f>
        <v>0</v>
      </c>
      <c r="P119" s="62" t="s">
        <v>38</v>
      </c>
      <c r="Q119" s="67">
        <f>uurtarief2</f>
        <v>0</v>
      </c>
      <c r="R119" s="64" t="e">
        <f t="shared" si="31"/>
        <v>#DIV/0!</v>
      </c>
      <c r="S119" s="64" t="e">
        <f t="shared" si="32"/>
        <v>#DIV/0!</v>
      </c>
      <c r="T119" s="67" t="e">
        <f t="shared" si="33"/>
        <v>#DIV/0!</v>
      </c>
      <c r="U119" s="64" t="e">
        <f t="shared" si="34"/>
        <v>#DIV/0!</v>
      </c>
      <c r="V119" s="68" t="e">
        <f t="shared" si="35"/>
        <v>#DIV/0!</v>
      </c>
    </row>
    <row r="120" spans="1:22" x14ac:dyDescent="0.3">
      <c r="A120" s="61" t="s">
        <v>384</v>
      </c>
      <c r="B120" s="62" t="s">
        <v>234</v>
      </c>
      <c r="C120" s="62" t="s">
        <v>235</v>
      </c>
      <c r="D120" s="62" t="s">
        <v>415</v>
      </c>
      <c r="E120" s="63" t="s">
        <v>416</v>
      </c>
      <c r="F120" s="62" t="s">
        <v>398</v>
      </c>
      <c r="G120" s="62" t="s">
        <v>162</v>
      </c>
      <c r="H120" s="62" t="s">
        <v>13</v>
      </c>
      <c r="I120" s="62" t="s">
        <v>163</v>
      </c>
      <c r="J120" s="62" t="s">
        <v>261</v>
      </c>
      <c r="K120" s="62" t="s">
        <v>234</v>
      </c>
      <c r="L120" s="64">
        <v>16</v>
      </c>
      <c r="M120" s="64">
        <f t="shared" si="30"/>
        <v>6.5882352941176467</v>
      </c>
      <c r="N120" s="65">
        <f>prodnorm1</f>
        <v>0</v>
      </c>
      <c r="O120" s="66">
        <f>dagwerk1</f>
        <v>0</v>
      </c>
      <c r="P120" s="62" t="s">
        <v>38</v>
      </c>
      <c r="Q120" s="67">
        <f>uurtarief1</f>
        <v>0</v>
      </c>
      <c r="R120" s="64" t="e">
        <f t="shared" si="31"/>
        <v>#DIV/0!</v>
      </c>
      <c r="S120" s="64" t="e">
        <f t="shared" si="32"/>
        <v>#DIV/0!</v>
      </c>
      <c r="T120" s="67" t="e">
        <f t="shared" si="33"/>
        <v>#DIV/0!</v>
      </c>
      <c r="U120" s="64" t="e">
        <f t="shared" si="34"/>
        <v>#DIV/0!</v>
      </c>
      <c r="V120" s="68" t="e">
        <f t="shared" si="35"/>
        <v>#DIV/0!</v>
      </c>
    </row>
    <row r="121" spans="1:22" x14ac:dyDescent="0.3">
      <c r="A121" s="61" t="s">
        <v>384</v>
      </c>
      <c r="B121" s="62" t="s">
        <v>234</v>
      </c>
      <c r="C121" s="62" t="s">
        <v>235</v>
      </c>
      <c r="D121" s="62" t="s">
        <v>417</v>
      </c>
      <c r="E121" s="63" t="s">
        <v>418</v>
      </c>
      <c r="F121" s="62" t="s">
        <v>398</v>
      </c>
      <c r="G121" s="62" t="s">
        <v>213</v>
      </c>
      <c r="H121" s="62" t="s">
        <v>10</v>
      </c>
      <c r="I121" s="62" t="s">
        <v>163</v>
      </c>
      <c r="J121" s="62" t="s">
        <v>239</v>
      </c>
      <c r="K121" s="62" t="s">
        <v>234</v>
      </c>
      <c r="L121" s="64">
        <v>15</v>
      </c>
      <c r="M121" s="64">
        <f t="shared" si="30"/>
        <v>12.352941176470587</v>
      </c>
      <c r="N121" s="65">
        <f>prodnorm29</f>
        <v>0</v>
      </c>
      <c r="O121" s="66">
        <f>dagwerk29</f>
        <v>0</v>
      </c>
      <c r="P121" s="62" t="s">
        <v>38</v>
      </c>
      <c r="Q121" s="67">
        <f>uurtarief29</f>
        <v>0</v>
      </c>
      <c r="R121" s="64" t="e">
        <f t="shared" si="31"/>
        <v>#DIV/0!</v>
      </c>
      <c r="S121" s="64" t="e">
        <f t="shared" si="32"/>
        <v>#DIV/0!</v>
      </c>
      <c r="T121" s="67" t="e">
        <f t="shared" si="33"/>
        <v>#DIV/0!</v>
      </c>
      <c r="U121" s="64" t="e">
        <f t="shared" si="34"/>
        <v>#DIV/0!</v>
      </c>
      <c r="V121" s="68" t="e">
        <f t="shared" si="35"/>
        <v>#DIV/0!</v>
      </c>
    </row>
    <row r="122" spans="1:22" x14ac:dyDescent="0.3">
      <c r="A122" s="61" t="s">
        <v>384</v>
      </c>
      <c r="B122" s="62" t="s">
        <v>234</v>
      </c>
      <c r="C122" s="62" t="s">
        <v>235</v>
      </c>
      <c r="D122" s="62" t="s">
        <v>419</v>
      </c>
      <c r="E122" s="63" t="s">
        <v>420</v>
      </c>
      <c r="F122" s="62" t="s">
        <v>260</v>
      </c>
      <c r="G122" s="62" t="s">
        <v>175</v>
      </c>
      <c r="H122" s="62" t="s">
        <v>10</v>
      </c>
      <c r="I122" s="62" t="s">
        <v>163</v>
      </c>
      <c r="J122" s="62" t="s">
        <v>261</v>
      </c>
      <c r="K122" s="62" t="s">
        <v>234</v>
      </c>
      <c r="L122" s="64">
        <v>115</v>
      </c>
      <c r="M122" s="64">
        <f t="shared" si="30"/>
        <v>94.705882352941174</v>
      </c>
      <c r="N122" s="65">
        <f>prodnorm8</f>
        <v>0</v>
      </c>
      <c r="O122" s="66">
        <f>dagwerk8</f>
        <v>0</v>
      </c>
      <c r="P122" s="62" t="s">
        <v>38</v>
      </c>
      <c r="Q122" s="67">
        <f>uurtarief8</f>
        <v>0</v>
      </c>
      <c r="R122" s="64" t="e">
        <f t="shared" si="31"/>
        <v>#DIV/0!</v>
      </c>
      <c r="S122" s="64" t="e">
        <f t="shared" si="32"/>
        <v>#DIV/0!</v>
      </c>
      <c r="T122" s="67" t="e">
        <f t="shared" si="33"/>
        <v>#DIV/0!</v>
      </c>
      <c r="U122" s="64" t="e">
        <f t="shared" si="34"/>
        <v>#DIV/0!</v>
      </c>
      <c r="V122" s="68" t="e">
        <f t="shared" si="35"/>
        <v>#DIV/0!</v>
      </c>
    </row>
    <row r="123" spans="1:22" x14ac:dyDescent="0.3">
      <c r="A123" s="61" t="s">
        <v>384</v>
      </c>
      <c r="B123" s="62" t="s">
        <v>234</v>
      </c>
      <c r="C123" s="62" t="s">
        <v>235</v>
      </c>
      <c r="D123" s="62" t="s">
        <v>421</v>
      </c>
      <c r="E123" s="63" t="s">
        <v>422</v>
      </c>
      <c r="F123" s="62" t="s">
        <v>398</v>
      </c>
      <c r="G123" s="62" t="s">
        <v>207</v>
      </c>
      <c r="H123" s="62" t="s">
        <v>10</v>
      </c>
      <c r="I123" s="62" t="s">
        <v>163</v>
      </c>
      <c r="J123" s="62" t="s">
        <v>239</v>
      </c>
      <c r="K123" s="62" t="s">
        <v>234</v>
      </c>
      <c r="L123" s="64">
        <v>13</v>
      </c>
      <c r="M123" s="64">
        <f t="shared" si="30"/>
        <v>10.705882352941176</v>
      </c>
      <c r="N123" s="65">
        <f>prodnorm26</f>
        <v>0</v>
      </c>
      <c r="O123" s="66">
        <f>dagwerk26</f>
        <v>0</v>
      </c>
      <c r="P123" s="62" t="s">
        <v>38</v>
      </c>
      <c r="Q123" s="67">
        <f>uurtarief26</f>
        <v>0</v>
      </c>
      <c r="R123" s="64" t="e">
        <f t="shared" si="31"/>
        <v>#DIV/0!</v>
      </c>
      <c r="S123" s="64" t="e">
        <f t="shared" si="32"/>
        <v>#DIV/0!</v>
      </c>
      <c r="T123" s="67" t="e">
        <f t="shared" si="33"/>
        <v>#DIV/0!</v>
      </c>
      <c r="U123" s="64" t="e">
        <f t="shared" si="34"/>
        <v>#DIV/0!</v>
      </c>
      <c r="V123" s="68" t="e">
        <f t="shared" si="35"/>
        <v>#DIV/0!</v>
      </c>
    </row>
    <row r="124" spans="1:22" x14ac:dyDescent="0.3">
      <c r="A124" s="61" t="s">
        <v>384</v>
      </c>
      <c r="B124" s="62" t="s">
        <v>234</v>
      </c>
      <c r="C124" s="62" t="s">
        <v>235</v>
      </c>
      <c r="D124" s="62" t="s">
        <v>423</v>
      </c>
      <c r="E124" s="63" t="s">
        <v>424</v>
      </c>
      <c r="F124" s="62" t="s">
        <v>270</v>
      </c>
      <c r="G124" s="62" t="s">
        <v>173</v>
      </c>
      <c r="H124" s="62" t="s">
        <v>13</v>
      </c>
      <c r="I124" s="62" t="s">
        <v>163</v>
      </c>
      <c r="J124" s="62" t="s">
        <v>261</v>
      </c>
      <c r="K124" s="62" t="s">
        <v>234</v>
      </c>
      <c r="L124" s="64">
        <v>29</v>
      </c>
      <c r="M124" s="64">
        <f t="shared" si="30"/>
        <v>11.941176470588236</v>
      </c>
      <c r="N124" s="65">
        <f>prodnorm7</f>
        <v>0</v>
      </c>
      <c r="O124" s="66">
        <f>dagwerk7</f>
        <v>0</v>
      </c>
      <c r="P124" s="62" t="s">
        <v>38</v>
      </c>
      <c r="Q124" s="67">
        <f>uurtarief7</f>
        <v>0</v>
      </c>
      <c r="R124" s="64" t="e">
        <f t="shared" si="31"/>
        <v>#DIV/0!</v>
      </c>
      <c r="S124" s="64" t="e">
        <f t="shared" si="32"/>
        <v>#DIV/0!</v>
      </c>
      <c r="T124" s="67" t="e">
        <f t="shared" si="33"/>
        <v>#DIV/0!</v>
      </c>
      <c r="U124" s="64" t="e">
        <f t="shared" si="34"/>
        <v>#DIV/0!</v>
      </c>
      <c r="V124" s="68" t="e">
        <f t="shared" si="35"/>
        <v>#DIV/0!</v>
      </c>
    </row>
    <row r="125" spans="1:22" x14ac:dyDescent="0.3">
      <c r="A125" s="61" t="s">
        <v>384</v>
      </c>
      <c r="B125" s="62" t="s">
        <v>234</v>
      </c>
      <c r="C125" s="62" t="s">
        <v>235</v>
      </c>
      <c r="D125" s="62" t="s">
        <v>425</v>
      </c>
      <c r="E125" s="63" t="s">
        <v>373</v>
      </c>
      <c r="F125" s="62" t="s">
        <v>260</v>
      </c>
      <c r="G125" s="62" t="s">
        <v>165</v>
      </c>
      <c r="H125" s="62" t="s">
        <v>13</v>
      </c>
      <c r="I125" s="62" t="s">
        <v>163</v>
      </c>
      <c r="J125" s="62" t="s">
        <v>261</v>
      </c>
      <c r="K125" s="62" t="s">
        <v>234</v>
      </c>
      <c r="L125" s="64">
        <v>16</v>
      </c>
      <c r="M125" s="64">
        <f t="shared" si="30"/>
        <v>6.5882352941176467</v>
      </c>
      <c r="N125" s="65">
        <f t="shared" ref="N125:N131" si="36">prodnorm2</f>
        <v>0</v>
      </c>
      <c r="O125" s="66">
        <f t="shared" ref="O125:O131" si="37">dagwerk2</f>
        <v>0</v>
      </c>
      <c r="P125" s="62" t="s">
        <v>38</v>
      </c>
      <c r="Q125" s="67">
        <f t="shared" ref="Q125:Q131" si="38">uurtarief2</f>
        <v>0</v>
      </c>
      <c r="R125" s="64" t="e">
        <f t="shared" si="31"/>
        <v>#DIV/0!</v>
      </c>
      <c r="S125" s="64" t="e">
        <f t="shared" si="32"/>
        <v>#DIV/0!</v>
      </c>
      <c r="T125" s="67" t="e">
        <f t="shared" si="33"/>
        <v>#DIV/0!</v>
      </c>
      <c r="U125" s="64" t="e">
        <f t="shared" si="34"/>
        <v>#DIV/0!</v>
      </c>
      <c r="V125" s="68" t="e">
        <f t="shared" si="35"/>
        <v>#DIV/0!</v>
      </c>
    </row>
    <row r="126" spans="1:22" x14ac:dyDescent="0.3">
      <c r="A126" s="61" t="s">
        <v>384</v>
      </c>
      <c r="B126" s="62" t="s">
        <v>234</v>
      </c>
      <c r="C126" s="62" t="s">
        <v>235</v>
      </c>
      <c r="D126" s="62" t="s">
        <v>426</v>
      </c>
      <c r="E126" s="63" t="s">
        <v>427</v>
      </c>
      <c r="F126" s="62" t="s">
        <v>260</v>
      </c>
      <c r="G126" s="62" t="s">
        <v>165</v>
      </c>
      <c r="H126" s="62" t="s">
        <v>13</v>
      </c>
      <c r="I126" s="62" t="s">
        <v>163</v>
      </c>
      <c r="J126" s="62" t="s">
        <v>261</v>
      </c>
      <c r="K126" s="62" t="s">
        <v>234</v>
      </c>
      <c r="L126" s="64">
        <v>8</v>
      </c>
      <c r="M126" s="64">
        <f t="shared" si="30"/>
        <v>3.2941176470588234</v>
      </c>
      <c r="N126" s="65">
        <f t="shared" si="36"/>
        <v>0</v>
      </c>
      <c r="O126" s="66">
        <f t="shared" si="37"/>
        <v>0</v>
      </c>
      <c r="P126" s="62" t="s">
        <v>38</v>
      </c>
      <c r="Q126" s="67">
        <f t="shared" si="38"/>
        <v>0</v>
      </c>
      <c r="R126" s="64" t="e">
        <f t="shared" si="31"/>
        <v>#DIV/0!</v>
      </c>
      <c r="S126" s="64" t="e">
        <f t="shared" si="32"/>
        <v>#DIV/0!</v>
      </c>
      <c r="T126" s="67" t="e">
        <f t="shared" si="33"/>
        <v>#DIV/0!</v>
      </c>
      <c r="U126" s="64" t="e">
        <f t="shared" si="34"/>
        <v>#DIV/0!</v>
      </c>
      <c r="V126" s="68" t="e">
        <f t="shared" si="35"/>
        <v>#DIV/0!</v>
      </c>
    </row>
    <row r="127" spans="1:22" x14ac:dyDescent="0.3">
      <c r="A127" s="61" t="s">
        <v>384</v>
      </c>
      <c r="B127" s="62" t="s">
        <v>234</v>
      </c>
      <c r="C127" s="62" t="s">
        <v>235</v>
      </c>
      <c r="D127" s="62" t="s">
        <v>428</v>
      </c>
      <c r="E127" s="63" t="s">
        <v>429</v>
      </c>
      <c r="F127" s="62" t="s">
        <v>260</v>
      </c>
      <c r="G127" s="62" t="s">
        <v>165</v>
      </c>
      <c r="H127" s="62" t="s">
        <v>13</v>
      </c>
      <c r="I127" s="62" t="s">
        <v>163</v>
      </c>
      <c r="J127" s="62" t="s">
        <v>261</v>
      </c>
      <c r="K127" s="62" t="s">
        <v>234</v>
      </c>
      <c r="L127" s="64">
        <v>37</v>
      </c>
      <c r="M127" s="64">
        <f t="shared" si="30"/>
        <v>15.235294117647058</v>
      </c>
      <c r="N127" s="65">
        <f t="shared" si="36"/>
        <v>0</v>
      </c>
      <c r="O127" s="66">
        <f t="shared" si="37"/>
        <v>0</v>
      </c>
      <c r="P127" s="62" t="s">
        <v>38</v>
      </c>
      <c r="Q127" s="67">
        <f t="shared" si="38"/>
        <v>0</v>
      </c>
      <c r="R127" s="64" t="e">
        <f t="shared" si="31"/>
        <v>#DIV/0!</v>
      </c>
      <c r="S127" s="64" t="e">
        <f t="shared" si="32"/>
        <v>#DIV/0!</v>
      </c>
      <c r="T127" s="67" t="e">
        <f t="shared" si="33"/>
        <v>#DIV/0!</v>
      </c>
      <c r="U127" s="64" t="e">
        <f t="shared" si="34"/>
        <v>#DIV/0!</v>
      </c>
      <c r="V127" s="68" t="e">
        <f t="shared" si="35"/>
        <v>#DIV/0!</v>
      </c>
    </row>
    <row r="128" spans="1:22" x14ac:dyDescent="0.3">
      <c r="A128" s="61" t="s">
        <v>384</v>
      </c>
      <c r="B128" s="62" t="s">
        <v>234</v>
      </c>
      <c r="C128" s="62" t="s">
        <v>235</v>
      </c>
      <c r="D128" s="62" t="s">
        <v>430</v>
      </c>
      <c r="E128" s="63" t="s">
        <v>431</v>
      </c>
      <c r="F128" s="62" t="s">
        <v>260</v>
      </c>
      <c r="G128" s="62" t="s">
        <v>165</v>
      </c>
      <c r="H128" s="62" t="s">
        <v>13</v>
      </c>
      <c r="I128" s="62" t="s">
        <v>163</v>
      </c>
      <c r="J128" s="62" t="s">
        <v>261</v>
      </c>
      <c r="K128" s="62" t="s">
        <v>234</v>
      </c>
      <c r="L128" s="64">
        <v>6</v>
      </c>
      <c r="M128" s="64">
        <f t="shared" si="30"/>
        <v>2.4705882352941178</v>
      </c>
      <c r="N128" s="65">
        <f t="shared" si="36"/>
        <v>0</v>
      </c>
      <c r="O128" s="66">
        <f t="shared" si="37"/>
        <v>0</v>
      </c>
      <c r="P128" s="62" t="s">
        <v>38</v>
      </c>
      <c r="Q128" s="67">
        <f t="shared" si="38"/>
        <v>0</v>
      </c>
      <c r="R128" s="64" t="e">
        <f t="shared" si="31"/>
        <v>#DIV/0!</v>
      </c>
      <c r="S128" s="64" t="e">
        <f t="shared" si="32"/>
        <v>#DIV/0!</v>
      </c>
      <c r="T128" s="67" t="e">
        <f t="shared" si="33"/>
        <v>#DIV/0!</v>
      </c>
      <c r="U128" s="64" t="e">
        <f t="shared" si="34"/>
        <v>#DIV/0!</v>
      </c>
      <c r="V128" s="68" t="e">
        <f t="shared" si="35"/>
        <v>#DIV/0!</v>
      </c>
    </row>
    <row r="129" spans="1:22" x14ac:dyDescent="0.3">
      <c r="A129" s="61" t="s">
        <v>384</v>
      </c>
      <c r="B129" s="62" t="s">
        <v>234</v>
      </c>
      <c r="C129" s="62" t="s">
        <v>235</v>
      </c>
      <c r="D129" s="62" t="s">
        <v>432</v>
      </c>
      <c r="E129" s="63" t="s">
        <v>433</v>
      </c>
      <c r="F129" s="62" t="s">
        <v>260</v>
      </c>
      <c r="G129" s="62" t="s">
        <v>165</v>
      </c>
      <c r="H129" s="62" t="s">
        <v>13</v>
      </c>
      <c r="I129" s="62" t="s">
        <v>163</v>
      </c>
      <c r="J129" s="62" t="s">
        <v>261</v>
      </c>
      <c r="K129" s="62" t="s">
        <v>234</v>
      </c>
      <c r="L129" s="64">
        <v>37</v>
      </c>
      <c r="M129" s="64">
        <f t="shared" si="30"/>
        <v>15.235294117647058</v>
      </c>
      <c r="N129" s="65">
        <f t="shared" si="36"/>
        <v>0</v>
      </c>
      <c r="O129" s="66">
        <f t="shared" si="37"/>
        <v>0</v>
      </c>
      <c r="P129" s="62" t="s">
        <v>38</v>
      </c>
      <c r="Q129" s="67">
        <f t="shared" si="38"/>
        <v>0</v>
      </c>
      <c r="R129" s="64" t="e">
        <f t="shared" si="31"/>
        <v>#DIV/0!</v>
      </c>
      <c r="S129" s="64" t="e">
        <f t="shared" si="32"/>
        <v>#DIV/0!</v>
      </c>
      <c r="T129" s="67" t="e">
        <f t="shared" si="33"/>
        <v>#DIV/0!</v>
      </c>
      <c r="U129" s="64" t="e">
        <f t="shared" si="34"/>
        <v>#DIV/0!</v>
      </c>
      <c r="V129" s="68" t="e">
        <f t="shared" si="35"/>
        <v>#DIV/0!</v>
      </c>
    </row>
    <row r="130" spans="1:22" x14ac:dyDescent="0.3">
      <c r="A130" s="61" t="s">
        <v>384</v>
      </c>
      <c r="B130" s="62" t="s">
        <v>234</v>
      </c>
      <c r="C130" s="62" t="s">
        <v>235</v>
      </c>
      <c r="D130" s="62" t="s">
        <v>434</v>
      </c>
      <c r="E130" s="63" t="s">
        <v>431</v>
      </c>
      <c r="F130" s="62" t="s">
        <v>260</v>
      </c>
      <c r="G130" s="62" t="s">
        <v>165</v>
      </c>
      <c r="H130" s="62" t="s">
        <v>13</v>
      </c>
      <c r="I130" s="62" t="s">
        <v>163</v>
      </c>
      <c r="J130" s="62" t="s">
        <v>261</v>
      </c>
      <c r="K130" s="62" t="s">
        <v>234</v>
      </c>
      <c r="L130" s="64">
        <v>15</v>
      </c>
      <c r="M130" s="64">
        <f t="shared" si="30"/>
        <v>6.1764705882352935</v>
      </c>
      <c r="N130" s="65">
        <f t="shared" si="36"/>
        <v>0</v>
      </c>
      <c r="O130" s="66">
        <f t="shared" si="37"/>
        <v>0</v>
      </c>
      <c r="P130" s="62" t="s">
        <v>38</v>
      </c>
      <c r="Q130" s="67">
        <f t="shared" si="38"/>
        <v>0</v>
      </c>
      <c r="R130" s="64" t="e">
        <f t="shared" si="31"/>
        <v>#DIV/0!</v>
      </c>
      <c r="S130" s="64" t="e">
        <f t="shared" si="32"/>
        <v>#DIV/0!</v>
      </c>
      <c r="T130" s="67" t="e">
        <f t="shared" si="33"/>
        <v>#DIV/0!</v>
      </c>
      <c r="U130" s="64" t="e">
        <f t="shared" si="34"/>
        <v>#DIV/0!</v>
      </c>
      <c r="V130" s="68" t="e">
        <f t="shared" si="35"/>
        <v>#DIV/0!</v>
      </c>
    </row>
    <row r="131" spans="1:22" x14ac:dyDescent="0.3">
      <c r="A131" s="61" t="s">
        <v>384</v>
      </c>
      <c r="B131" s="62" t="s">
        <v>234</v>
      </c>
      <c r="C131" s="62" t="s">
        <v>235</v>
      </c>
      <c r="D131" s="62" t="s">
        <v>435</v>
      </c>
      <c r="E131" s="63" t="s">
        <v>431</v>
      </c>
      <c r="F131" s="62" t="s">
        <v>260</v>
      </c>
      <c r="G131" s="62" t="s">
        <v>165</v>
      </c>
      <c r="H131" s="62" t="s">
        <v>13</v>
      </c>
      <c r="I131" s="62" t="s">
        <v>163</v>
      </c>
      <c r="J131" s="62" t="s">
        <v>261</v>
      </c>
      <c r="K131" s="62" t="s">
        <v>234</v>
      </c>
      <c r="L131" s="64">
        <v>6</v>
      </c>
      <c r="M131" s="64">
        <f t="shared" si="30"/>
        <v>2.4705882352941178</v>
      </c>
      <c r="N131" s="65">
        <f t="shared" si="36"/>
        <v>0</v>
      </c>
      <c r="O131" s="66">
        <f t="shared" si="37"/>
        <v>0</v>
      </c>
      <c r="P131" s="62" t="s">
        <v>38</v>
      </c>
      <c r="Q131" s="67">
        <f t="shared" si="38"/>
        <v>0</v>
      </c>
      <c r="R131" s="64" t="e">
        <f t="shared" si="31"/>
        <v>#DIV/0!</v>
      </c>
      <c r="S131" s="64" t="e">
        <f t="shared" si="32"/>
        <v>#DIV/0!</v>
      </c>
      <c r="T131" s="67" t="e">
        <f t="shared" si="33"/>
        <v>#DIV/0!</v>
      </c>
      <c r="U131" s="64" t="e">
        <f t="shared" si="34"/>
        <v>#DIV/0!</v>
      </c>
      <c r="V131" s="68" t="e">
        <f t="shared" si="35"/>
        <v>#DIV/0!</v>
      </c>
    </row>
    <row r="132" spans="1:22" x14ac:dyDescent="0.3">
      <c r="A132" s="61" t="s">
        <v>384</v>
      </c>
      <c r="B132" s="62" t="s">
        <v>234</v>
      </c>
      <c r="C132" s="62" t="s">
        <v>235</v>
      </c>
      <c r="D132" s="62" t="s">
        <v>436</v>
      </c>
      <c r="E132" s="63" t="s">
        <v>300</v>
      </c>
      <c r="F132" s="62" t="s">
        <v>260</v>
      </c>
      <c r="G132" s="62" t="s">
        <v>209</v>
      </c>
      <c r="H132" s="62" t="s">
        <v>10</v>
      </c>
      <c r="I132" s="62" t="s">
        <v>163</v>
      </c>
      <c r="J132" s="62" t="s">
        <v>239</v>
      </c>
      <c r="K132" s="62" t="s">
        <v>234</v>
      </c>
      <c r="L132" s="64">
        <v>5</v>
      </c>
      <c r="M132" s="64">
        <f t="shared" si="30"/>
        <v>4.117647058823529</v>
      </c>
      <c r="N132" s="65">
        <f>prodnorm27</f>
        <v>0</v>
      </c>
      <c r="O132" s="66">
        <f>dagwerk27</f>
        <v>0</v>
      </c>
      <c r="P132" s="62" t="s">
        <v>38</v>
      </c>
      <c r="Q132" s="67">
        <f>uurtarief27</f>
        <v>0</v>
      </c>
      <c r="R132" s="64" t="e">
        <f t="shared" si="31"/>
        <v>#DIV/0!</v>
      </c>
      <c r="S132" s="64" t="e">
        <f t="shared" si="32"/>
        <v>#DIV/0!</v>
      </c>
      <c r="T132" s="67" t="e">
        <f t="shared" si="33"/>
        <v>#DIV/0!</v>
      </c>
      <c r="U132" s="64" t="e">
        <f t="shared" si="34"/>
        <v>#DIV/0!</v>
      </c>
      <c r="V132" s="68" t="e">
        <f t="shared" si="35"/>
        <v>#DIV/0!</v>
      </c>
    </row>
    <row r="133" spans="1:22" x14ac:dyDescent="0.3">
      <c r="A133" s="61" t="s">
        <v>384</v>
      </c>
      <c r="B133" s="62" t="s">
        <v>234</v>
      </c>
      <c r="C133" s="62" t="s">
        <v>235</v>
      </c>
      <c r="D133" s="62" t="s">
        <v>437</v>
      </c>
      <c r="E133" s="63" t="s">
        <v>438</v>
      </c>
      <c r="F133" s="62" t="s">
        <v>398</v>
      </c>
      <c r="G133" s="62" t="s">
        <v>162</v>
      </c>
      <c r="H133" s="62" t="s">
        <v>13</v>
      </c>
      <c r="I133" s="62" t="s">
        <v>163</v>
      </c>
      <c r="J133" s="62" t="s">
        <v>261</v>
      </c>
      <c r="K133" s="62" t="s">
        <v>234</v>
      </c>
      <c r="L133" s="64">
        <v>17</v>
      </c>
      <c r="M133" s="64">
        <f t="shared" si="30"/>
        <v>7</v>
      </c>
      <c r="N133" s="65">
        <f>prodnorm1</f>
        <v>0</v>
      </c>
      <c r="O133" s="66">
        <f>dagwerk1</f>
        <v>0</v>
      </c>
      <c r="P133" s="62" t="s">
        <v>38</v>
      </c>
      <c r="Q133" s="67">
        <f>uurtarief1</f>
        <v>0</v>
      </c>
      <c r="R133" s="64" t="e">
        <f t="shared" si="31"/>
        <v>#DIV/0!</v>
      </c>
      <c r="S133" s="64" t="e">
        <f t="shared" si="32"/>
        <v>#DIV/0!</v>
      </c>
      <c r="T133" s="67" t="e">
        <f t="shared" si="33"/>
        <v>#DIV/0!</v>
      </c>
      <c r="U133" s="64" t="e">
        <f t="shared" si="34"/>
        <v>#DIV/0!</v>
      </c>
      <c r="V133" s="68" t="e">
        <f t="shared" si="35"/>
        <v>#DIV/0!</v>
      </c>
    </row>
    <row r="134" spans="1:22" x14ac:dyDescent="0.3">
      <c r="A134" s="61" t="s">
        <v>384</v>
      </c>
      <c r="B134" s="62" t="s">
        <v>234</v>
      </c>
      <c r="C134" s="62" t="s">
        <v>235</v>
      </c>
      <c r="D134" s="62" t="s">
        <v>439</v>
      </c>
      <c r="E134" s="63" t="s">
        <v>431</v>
      </c>
      <c r="F134" s="62" t="s">
        <v>260</v>
      </c>
      <c r="G134" s="62" t="s">
        <v>165</v>
      </c>
      <c r="H134" s="62" t="s">
        <v>13</v>
      </c>
      <c r="I134" s="62" t="s">
        <v>163</v>
      </c>
      <c r="J134" s="62" t="s">
        <v>261</v>
      </c>
      <c r="K134" s="62" t="s">
        <v>234</v>
      </c>
      <c r="L134" s="64">
        <v>12</v>
      </c>
      <c r="M134" s="64">
        <f t="shared" si="30"/>
        <v>4.9411764705882355</v>
      </c>
      <c r="N134" s="65">
        <f>prodnorm2</f>
        <v>0</v>
      </c>
      <c r="O134" s="66">
        <f>dagwerk2</f>
        <v>0</v>
      </c>
      <c r="P134" s="62" t="s">
        <v>38</v>
      </c>
      <c r="Q134" s="67">
        <f>uurtarief2</f>
        <v>0</v>
      </c>
      <c r="R134" s="64" t="e">
        <f t="shared" si="31"/>
        <v>#DIV/0!</v>
      </c>
      <c r="S134" s="64" t="e">
        <f t="shared" si="32"/>
        <v>#DIV/0!</v>
      </c>
      <c r="T134" s="67" t="e">
        <f t="shared" si="33"/>
        <v>#DIV/0!</v>
      </c>
      <c r="U134" s="64" t="e">
        <f t="shared" si="34"/>
        <v>#DIV/0!</v>
      </c>
      <c r="V134" s="68" t="e">
        <f t="shared" si="35"/>
        <v>#DIV/0!</v>
      </c>
    </row>
    <row r="135" spans="1:22" x14ac:dyDescent="0.3">
      <c r="A135" s="61" t="s">
        <v>384</v>
      </c>
      <c r="B135" s="62" t="s">
        <v>234</v>
      </c>
      <c r="C135" s="62" t="s">
        <v>235</v>
      </c>
      <c r="D135" s="62" t="s">
        <v>440</v>
      </c>
      <c r="E135" s="63" t="s">
        <v>431</v>
      </c>
      <c r="F135" s="62" t="s">
        <v>260</v>
      </c>
      <c r="G135" s="62" t="s">
        <v>165</v>
      </c>
      <c r="H135" s="62" t="s">
        <v>13</v>
      </c>
      <c r="I135" s="62" t="s">
        <v>163</v>
      </c>
      <c r="J135" s="62" t="s">
        <v>261</v>
      </c>
      <c r="K135" s="62" t="s">
        <v>234</v>
      </c>
      <c r="L135" s="64">
        <v>22</v>
      </c>
      <c r="M135" s="64">
        <f t="shared" si="30"/>
        <v>9.0588235294117645</v>
      </c>
      <c r="N135" s="65">
        <f>prodnorm2</f>
        <v>0</v>
      </c>
      <c r="O135" s="66">
        <f>dagwerk2</f>
        <v>0</v>
      </c>
      <c r="P135" s="62" t="s">
        <v>38</v>
      </c>
      <c r="Q135" s="67">
        <f>uurtarief2</f>
        <v>0</v>
      </c>
      <c r="R135" s="64" t="e">
        <f t="shared" si="31"/>
        <v>#DIV/0!</v>
      </c>
      <c r="S135" s="64" t="e">
        <f t="shared" si="32"/>
        <v>#DIV/0!</v>
      </c>
      <c r="T135" s="67" t="e">
        <f t="shared" si="33"/>
        <v>#DIV/0!</v>
      </c>
      <c r="U135" s="64" t="e">
        <f t="shared" si="34"/>
        <v>#DIV/0!</v>
      </c>
      <c r="V135" s="68" t="e">
        <f t="shared" si="35"/>
        <v>#DIV/0!</v>
      </c>
    </row>
    <row r="136" spans="1:22" x14ac:dyDescent="0.3">
      <c r="A136" s="61" t="s">
        <v>384</v>
      </c>
      <c r="B136" s="62" t="s">
        <v>234</v>
      </c>
      <c r="C136" s="62" t="s">
        <v>235</v>
      </c>
      <c r="D136" s="62" t="s">
        <v>441</v>
      </c>
      <c r="E136" s="63" t="s">
        <v>442</v>
      </c>
      <c r="F136" s="62" t="s">
        <v>270</v>
      </c>
      <c r="G136" s="62" t="s">
        <v>207</v>
      </c>
      <c r="H136" s="62" t="s">
        <v>10</v>
      </c>
      <c r="I136" s="62" t="s">
        <v>163</v>
      </c>
      <c r="J136" s="62" t="s">
        <v>239</v>
      </c>
      <c r="K136" s="62" t="s">
        <v>234</v>
      </c>
      <c r="L136" s="64">
        <v>125</v>
      </c>
      <c r="M136" s="64">
        <f t="shared" si="30"/>
        <v>102.94117647058823</v>
      </c>
      <c r="N136" s="65">
        <f>prodnorm26</f>
        <v>0</v>
      </c>
      <c r="O136" s="66">
        <f>dagwerk26</f>
        <v>0</v>
      </c>
      <c r="P136" s="62" t="s">
        <v>38</v>
      </c>
      <c r="Q136" s="67">
        <f>uurtarief26</f>
        <v>0</v>
      </c>
      <c r="R136" s="64" t="e">
        <f t="shared" si="31"/>
        <v>#DIV/0!</v>
      </c>
      <c r="S136" s="64" t="e">
        <f t="shared" si="32"/>
        <v>#DIV/0!</v>
      </c>
      <c r="T136" s="67" t="e">
        <f t="shared" si="33"/>
        <v>#DIV/0!</v>
      </c>
      <c r="U136" s="64" t="e">
        <f t="shared" si="34"/>
        <v>#DIV/0!</v>
      </c>
      <c r="V136" s="68" t="e">
        <f t="shared" si="35"/>
        <v>#DIV/0!</v>
      </c>
    </row>
    <row r="137" spans="1:22" x14ac:dyDescent="0.3">
      <c r="A137" s="61" t="s">
        <v>384</v>
      </c>
      <c r="B137" s="62" t="s">
        <v>234</v>
      </c>
      <c r="C137" s="62" t="s">
        <v>235</v>
      </c>
      <c r="D137" s="62" t="s">
        <v>443</v>
      </c>
      <c r="E137" s="63" t="s">
        <v>444</v>
      </c>
      <c r="F137" s="62" t="s">
        <v>270</v>
      </c>
      <c r="G137" s="62" t="s">
        <v>207</v>
      </c>
      <c r="H137" s="62" t="s">
        <v>10</v>
      </c>
      <c r="I137" s="62" t="s">
        <v>163</v>
      </c>
      <c r="J137" s="62" t="s">
        <v>239</v>
      </c>
      <c r="K137" s="62" t="s">
        <v>234</v>
      </c>
      <c r="L137" s="64">
        <v>115</v>
      </c>
      <c r="M137" s="64">
        <f t="shared" si="30"/>
        <v>94.705882352941174</v>
      </c>
      <c r="N137" s="65">
        <f>prodnorm26</f>
        <v>0</v>
      </c>
      <c r="O137" s="66">
        <f>dagwerk26</f>
        <v>0</v>
      </c>
      <c r="P137" s="62" t="s">
        <v>38</v>
      </c>
      <c r="Q137" s="67">
        <f>uurtarief26</f>
        <v>0</v>
      </c>
      <c r="R137" s="64" t="e">
        <f t="shared" si="31"/>
        <v>#DIV/0!</v>
      </c>
      <c r="S137" s="64" t="e">
        <f t="shared" si="32"/>
        <v>#DIV/0!</v>
      </c>
      <c r="T137" s="67" t="e">
        <f t="shared" si="33"/>
        <v>#DIV/0!</v>
      </c>
      <c r="U137" s="64" t="e">
        <f t="shared" si="34"/>
        <v>#DIV/0!</v>
      </c>
      <c r="V137" s="68" t="e">
        <f t="shared" si="35"/>
        <v>#DIV/0!</v>
      </c>
    </row>
    <row r="138" spans="1:22" x14ac:dyDescent="0.3">
      <c r="A138" s="61" t="s">
        <v>384</v>
      </c>
      <c r="B138" s="62" t="s">
        <v>234</v>
      </c>
      <c r="C138" s="62" t="s">
        <v>235</v>
      </c>
      <c r="D138" s="62" t="s">
        <v>445</v>
      </c>
      <c r="E138" s="63" t="s">
        <v>446</v>
      </c>
      <c r="F138" s="62" t="s">
        <v>270</v>
      </c>
      <c r="G138" s="62" t="s">
        <v>207</v>
      </c>
      <c r="H138" s="62" t="s">
        <v>10</v>
      </c>
      <c r="I138" s="62" t="s">
        <v>163</v>
      </c>
      <c r="J138" s="62" t="s">
        <v>239</v>
      </c>
      <c r="K138" s="62" t="s">
        <v>234</v>
      </c>
      <c r="L138" s="64">
        <v>113</v>
      </c>
      <c r="M138" s="64">
        <f t="shared" si="30"/>
        <v>93.058823529411754</v>
      </c>
      <c r="N138" s="65">
        <f>prodnorm26</f>
        <v>0</v>
      </c>
      <c r="O138" s="66">
        <f>dagwerk26</f>
        <v>0</v>
      </c>
      <c r="P138" s="62" t="s">
        <v>38</v>
      </c>
      <c r="Q138" s="67">
        <f>uurtarief26</f>
        <v>0</v>
      </c>
      <c r="R138" s="64" t="e">
        <f t="shared" si="31"/>
        <v>#DIV/0!</v>
      </c>
      <c r="S138" s="64" t="e">
        <f t="shared" si="32"/>
        <v>#DIV/0!</v>
      </c>
      <c r="T138" s="67" t="e">
        <f t="shared" si="33"/>
        <v>#DIV/0!</v>
      </c>
      <c r="U138" s="64" t="e">
        <f t="shared" si="34"/>
        <v>#DIV/0!</v>
      </c>
      <c r="V138" s="68" t="e">
        <f t="shared" si="35"/>
        <v>#DIV/0!</v>
      </c>
    </row>
    <row r="139" spans="1:22" x14ac:dyDescent="0.3">
      <c r="A139" s="61" t="s">
        <v>384</v>
      </c>
      <c r="B139" s="62" t="s">
        <v>234</v>
      </c>
      <c r="C139" s="62" t="s">
        <v>235</v>
      </c>
      <c r="D139" s="62" t="s">
        <v>447</v>
      </c>
      <c r="E139" s="63" t="s">
        <v>448</v>
      </c>
      <c r="F139" s="62" t="s">
        <v>270</v>
      </c>
      <c r="G139" s="62" t="s">
        <v>207</v>
      </c>
      <c r="H139" s="62" t="s">
        <v>10</v>
      </c>
      <c r="I139" s="62" t="s">
        <v>163</v>
      </c>
      <c r="J139" s="62" t="s">
        <v>239</v>
      </c>
      <c r="K139" s="62" t="s">
        <v>234</v>
      </c>
      <c r="L139" s="64">
        <v>0</v>
      </c>
      <c r="M139" s="64">
        <f t="shared" si="30"/>
        <v>0</v>
      </c>
      <c r="N139" s="65"/>
      <c r="O139" s="66"/>
      <c r="P139" s="62" t="s">
        <v>38</v>
      </c>
      <c r="Q139" s="67"/>
      <c r="R139" s="64">
        <f t="shared" si="31"/>
        <v>0</v>
      </c>
      <c r="S139" s="64">
        <f t="shared" si="32"/>
        <v>0</v>
      </c>
      <c r="T139" s="67">
        <f t="shared" si="33"/>
        <v>0</v>
      </c>
      <c r="U139" s="64">
        <f t="shared" si="34"/>
        <v>0</v>
      </c>
      <c r="V139" s="68">
        <f t="shared" si="35"/>
        <v>0</v>
      </c>
    </row>
    <row r="140" spans="1:22" x14ac:dyDescent="0.3">
      <c r="A140" s="61" t="s">
        <v>384</v>
      </c>
      <c r="B140" s="62" t="s">
        <v>234</v>
      </c>
      <c r="C140" s="62" t="s">
        <v>235</v>
      </c>
      <c r="D140" s="62" t="s">
        <v>449</v>
      </c>
      <c r="E140" s="63" t="s">
        <v>448</v>
      </c>
      <c r="F140" s="62" t="s">
        <v>270</v>
      </c>
      <c r="G140" s="62" t="s">
        <v>207</v>
      </c>
      <c r="H140" s="62" t="s">
        <v>10</v>
      </c>
      <c r="I140" s="62" t="s">
        <v>163</v>
      </c>
      <c r="J140" s="62" t="s">
        <v>239</v>
      </c>
      <c r="K140" s="62" t="s">
        <v>234</v>
      </c>
      <c r="L140" s="64">
        <v>0</v>
      </c>
      <c r="M140" s="64">
        <f t="shared" si="30"/>
        <v>0</v>
      </c>
      <c r="N140" s="65"/>
      <c r="O140" s="66"/>
      <c r="P140" s="62" t="s">
        <v>38</v>
      </c>
      <c r="Q140" s="67"/>
      <c r="R140" s="64">
        <f t="shared" si="31"/>
        <v>0</v>
      </c>
      <c r="S140" s="64">
        <f t="shared" si="32"/>
        <v>0</v>
      </c>
      <c r="T140" s="67">
        <f t="shared" si="33"/>
        <v>0</v>
      </c>
      <c r="U140" s="64">
        <f t="shared" si="34"/>
        <v>0</v>
      </c>
      <c r="V140" s="68">
        <f t="shared" si="35"/>
        <v>0</v>
      </c>
    </row>
    <row r="141" spans="1:22" x14ac:dyDescent="0.3">
      <c r="A141" s="61" t="s">
        <v>384</v>
      </c>
      <c r="B141" s="62" t="s">
        <v>234</v>
      </c>
      <c r="C141" s="62" t="s">
        <v>235</v>
      </c>
      <c r="D141" s="62" t="s">
        <v>450</v>
      </c>
      <c r="E141" s="63" t="s">
        <v>448</v>
      </c>
      <c r="F141" s="62" t="s">
        <v>270</v>
      </c>
      <c r="G141" s="62" t="s">
        <v>207</v>
      </c>
      <c r="H141" s="62" t="s">
        <v>10</v>
      </c>
      <c r="I141" s="62" t="s">
        <v>163</v>
      </c>
      <c r="J141" s="62" t="s">
        <v>239</v>
      </c>
      <c r="K141" s="62" t="s">
        <v>234</v>
      </c>
      <c r="L141" s="64">
        <v>0</v>
      </c>
      <c r="M141" s="64">
        <f t="shared" si="30"/>
        <v>0</v>
      </c>
      <c r="N141" s="65"/>
      <c r="O141" s="66"/>
      <c r="P141" s="62" t="s">
        <v>38</v>
      </c>
      <c r="Q141" s="67"/>
      <c r="R141" s="64">
        <f t="shared" si="31"/>
        <v>0</v>
      </c>
      <c r="S141" s="64">
        <f t="shared" si="32"/>
        <v>0</v>
      </c>
      <c r="T141" s="67">
        <f t="shared" si="33"/>
        <v>0</v>
      </c>
      <c r="U141" s="64">
        <f t="shared" si="34"/>
        <v>0</v>
      </c>
      <c r="V141" s="68">
        <f t="shared" si="35"/>
        <v>0</v>
      </c>
    </row>
    <row r="142" spans="1:22" x14ac:dyDescent="0.3">
      <c r="A142" s="61" t="s">
        <v>384</v>
      </c>
      <c r="B142" s="62" t="s">
        <v>234</v>
      </c>
      <c r="C142" s="62" t="s">
        <v>235</v>
      </c>
      <c r="D142" s="62" t="s">
        <v>451</v>
      </c>
      <c r="E142" s="63" t="s">
        <v>448</v>
      </c>
      <c r="F142" s="62" t="s">
        <v>270</v>
      </c>
      <c r="G142" s="62" t="s">
        <v>207</v>
      </c>
      <c r="H142" s="62" t="s">
        <v>10</v>
      </c>
      <c r="I142" s="62" t="s">
        <v>163</v>
      </c>
      <c r="J142" s="62" t="s">
        <v>239</v>
      </c>
      <c r="K142" s="62" t="s">
        <v>234</v>
      </c>
      <c r="L142" s="64">
        <v>0</v>
      </c>
      <c r="M142" s="64">
        <f t="shared" si="30"/>
        <v>0</v>
      </c>
      <c r="N142" s="65"/>
      <c r="O142" s="66"/>
      <c r="P142" s="62" t="s">
        <v>38</v>
      </c>
      <c r="Q142" s="67"/>
      <c r="R142" s="64">
        <f t="shared" si="31"/>
        <v>0</v>
      </c>
      <c r="S142" s="64">
        <f t="shared" si="32"/>
        <v>0</v>
      </c>
      <c r="T142" s="67">
        <f t="shared" si="33"/>
        <v>0</v>
      </c>
      <c r="U142" s="64">
        <f t="shared" si="34"/>
        <v>0</v>
      </c>
      <c r="V142" s="68">
        <f t="shared" si="35"/>
        <v>0</v>
      </c>
    </row>
    <row r="143" spans="1:22" x14ac:dyDescent="0.3">
      <c r="A143" s="61" t="s">
        <v>384</v>
      </c>
      <c r="B143" s="62" t="s">
        <v>234</v>
      </c>
      <c r="C143" s="62" t="s">
        <v>235</v>
      </c>
      <c r="D143" s="62" t="s">
        <v>452</v>
      </c>
      <c r="E143" s="63" t="s">
        <v>448</v>
      </c>
      <c r="F143" s="62" t="s">
        <v>270</v>
      </c>
      <c r="G143" s="62" t="s">
        <v>207</v>
      </c>
      <c r="H143" s="62" t="s">
        <v>10</v>
      </c>
      <c r="I143" s="62" t="s">
        <v>163</v>
      </c>
      <c r="J143" s="62" t="s">
        <v>239</v>
      </c>
      <c r="K143" s="62" t="s">
        <v>234</v>
      </c>
      <c r="L143" s="64">
        <v>0</v>
      </c>
      <c r="M143" s="64">
        <f t="shared" si="30"/>
        <v>0</v>
      </c>
      <c r="N143" s="65"/>
      <c r="O143" s="66"/>
      <c r="P143" s="62" t="s">
        <v>38</v>
      </c>
      <c r="Q143" s="67"/>
      <c r="R143" s="64">
        <f t="shared" si="31"/>
        <v>0</v>
      </c>
      <c r="S143" s="64">
        <f t="shared" si="32"/>
        <v>0</v>
      </c>
      <c r="T143" s="67">
        <f t="shared" si="33"/>
        <v>0</v>
      </c>
      <c r="U143" s="64">
        <f t="shared" si="34"/>
        <v>0</v>
      </c>
      <c r="V143" s="68">
        <f t="shared" si="35"/>
        <v>0</v>
      </c>
    </row>
    <row r="144" spans="1:22" x14ac:dyDescent="0.3">
      <c r="A144" s="61" t="s">
        <v>384</v>
      </c>
      <c r="B144" s="62" t="s">
        <v>234</v>
      </c>
      <c r="C144" s="62" t="s">
        <v>235</v>
      </c>
      <c r="D144" s="62" t="s">
        <v>453</v>
      </c>
      <c r="E144" s="63" t="s">
        <v>454</v>
      </c>
      <c r="F144" s="62" t="s">
        <v>398</v>
      </c>
      <c r="G144" s="62" t="s">
        <v>185</v>
      </c>
      <c r="H144" s="62" t="s">
        <v>13</v>
      </c>
      <c r="I144" s="62" t="s">
        <v>163</v>
      </c>
      <c r="J144" s="62" t="s">
        <v>273</v>
      </c>
      <c r="K144" s="62" t="s">
        <v>234</v>
      </c>
      <c r="L144" s="64">
        <v>162</v>
      </c>
      <c r="M144" s="64">
        <f t="shared" si="30"/>
        <v>66.705882352941174</v>
      </c>
      <c r="N144" s="65">
        <f>prodnorm14</f>
        <v>0</v>
      </c>
      <c r="O144" s="66">
        <f>dagwerk14</f>
        <v>0</v>
      </c>
      <c r="P144" s="62" t="s">
        <v>38</v>
      </c>
      <c r="Q144" s="67">
        <f>uurtarief14</f>
        <v>0</v>
      </c>
      <c r="R144" s="64" t="e">
        <f t="shared" si="31"/>
        <v>#DIV/0!</v>
      </c>
      <c r="S144" s="64" t="e">
        <f t="shared" si="32"/>
        <v>#DIV/0!</v>
      </c>
      <c r="T144" s="67" t="e">
        <f t="shared" si="33"/>
        <v>#DIV/0!</v>
      </c>
      <c r="U144" s="64" t="e">
        <f t="shared" si="34"/>
        <v>#DIV/0!</v>
      </c>
      <c r="V144" s="68" t="e">
        <f t="shared" si="35"/>
        <v>#DIV/0!</v>
      </c>
    </row>
    <row r="145" spans="1:22" x14ac:dyDescent="0.3">
      <c r="A145" s="61" t="s">
        <v>384</v>
      </c>
      <c r="B145" s="62" t="s">
        <v>234</v>
      </c>
      <c r="C145" s="62" t="s">
        <v>235</v>
      </c>
      <c r="D145" s="62" t="s">
        <v>455</v>
      </c>
      <c r="E145" s="63" t="s">
        <v>454</v>
      </c>
      <c r="F145" s="62" t="s">
        <v>398</v>
      </c>
      <c r="G145" s="62" t="s">
        <v>185</v>
      </c>
      <c r="H145" s="62" t="s">
        <v>13</v>
      </c>
      <c r="I145" s="62" t="s">
        <v>163</v>
      </c>
      <c r="J145" s="62" t="s">
        <v>273</v>
      </c>
      <c r="K145" s="62" t="s">
        <v>234</v>
      </c>
      <c r="L145" s="64">
        <v>75</v>
      </c>
      <c r="M145" s="64">
        <f t="shared" si="30"/>
        <v>30.882352941176467</v>
      </c>
      <c r="N145" s="65">
        <f>prodnorm14</f>
        <v>0</v>
      </c>
      <c r="O145" s="66">
        <f>dagwerk14</f>
        <v>0</v>
      </c>
      <c r="P145" s="62" t="s">
        <v>38</v>
      </c>
      <c r="Q145" s="67">
        <f>uurtarief14</f>
        <v>0</v>
      </c>
      <c r="R145" s="64" t="e">
        <f t="shared" si="31"/>
        <v>#DIV/0!</v>
      </c>
      <c r="S145" s="64" t="e">
        <f t="shared" si="32"/>
        <v>#DIV/0!</v>
      </c>
      <c r="T145" s="67" t="e">
        <f t="shared" si="33"/>
        <v>#DIV/0!</v>
      </c>
      <c r="U145" s="64" t="e">
        <f t="shared" si="34"/>
        <v>#DIV/0!</v>
      </c>
      <c r="V145" s="68" t="e">
        <f t="shared" si="35"/>
        <v>#DIV/0!</v>
      </c>
    </row>
    <row r="146" spans="1:22" x14ac:dyDescent="0.3">
      <c r="A146" s="61" t="s">
        <v>384</v>
      </c>
      <c r="B146" s="62" t="s">
        <v>234</v>
      </c>
      <c r="C146" s="62" t="s">
        <v>235</v>
      </c>
      <c r="D146" s="62" t="s">
        <v>456</v>
      </c>
      <c r="E146" s="63" t="s">
        <v>457</v>
      </c>
      <c r="F146" s="62" t="s">
        <v>398</v>
      </c>
      <c r="G146" s="62" t="s">
        <v>197</v>
      </c>
      <c r="H146" s="62" t="s">
        <v>10</v>
      </c>
      <c r="I146" s="62" t="s">
        <v>163</v>
      </c>
      <c r="J146" s="62" t="s">
        <v>273</v>
      </c>
      <c r="K146" s="62" t="s">
        <v>234</v>
      </c>
      <c r="L146" s="64">
        <v>105</v>
      </c>
      <c r="M146" s="64">
        <f t="shared" si="30"/>
        <v>86.470588235294116</v>
      </c>
      <c r="N146" s="65">
        <f>prodnorm21</f>
        <v>0</v>
      </c>
      <c r="O146" s="66">
        <f>dagwerk21</f>
        <v>0</v>
      </c>
      <c r="P146" s="62" t="s">
        <v>38</v>
      </c>
      <c r="Q146" s="67">
        <f>uurtarief21</f>
        <v>0</v>
      </c>
      <c r="R146" s="64" t="e">
        <f t="shared" si="31"/>
        <v>#DIV/0!</v>
      </c>
      <c r="S146" s="64" t="e">
        <f t="shared" si="32"/>
        <v>#DIV/0!</v>
      </c>
      <c r="T146" s="67" t="e">
        <f t="shared" si="33"/>
        <v>#DIV/0!</v>
      </c>
      <c r="U146" s="64" t="e">
        <f t="shared" si="34"/>
        <v>#DIV/0!</v>
      </c>
      <c r="V146" s="68" t="e">
        <f t="shared" si="35"/>
        <v>#DIV/0!</v>
      </c>
    </row>
    <row r="147" spans="1:22" x14ac:dyDescent="0.3">
      <c r="A147" s="61" t="s">
        <v>384</v>
      </c>
      <c r="B147" s="62" t="s">
        <v>234</v>
      </c>
      <c r="C147" s="62" t="s">
        <v>235</v>
      </c>
      <c r="D147" s="62" t="s">
        <v>458</v>
      </c>
      <c r="E147" s="63" t="s">
        <v>401</v>
      </c>
      <c r="F147" s="62" t="s">
        <v>398</v>
      </c>
      <c r="G147" s="62" t="s">
        <v>179</v>
      </c>
      <c r="H147" s="62" t="s">
        <v>13</v>
      </c>
      <c r="I147" s="62" t="s">
        <v>163</v>
      </c>
      <c r="J147" s="62" t="s">
        <v>273</v>
      </c>
      <c r="K147" s="62" t="s">
        <v>234</v>
      </c>
      <c r="L147" s="64">
        <v>70</v>
      </c>
      <c r="M147" s="64">
        <f t="shared" ref="M147:M178" si="39">L147*VLOOKUP(H147,dagsoorttabel1,2,FALSE)</f>
        <v>28.823529411764703</v>
      </c>
      <c r="N147" s="65">
        <f t="shared" ref="N147:N163" si="40">prodnorm10</f>
        <v>0</v>
      </c>
      <c r="O147" s="66">
        <f t="shared" ref="O147:O163" si="41">dagwerk10</f>
        <v>0</v>
      </c>
      <c r="P147" s="62" t="s">
        <v>38</v>
      </c>
      <c r="Q147" s="67">
        <f t="shared" ref="Q147:Q163" si="42">uurtarief10</f>
        <v>0</v>
      </c>
      <c r="R147" s="64" t="e">
        <f t="shared" ref="R147:R178" si="43">IF(ISBLANK(N147),0,M147/ROUND(N147,4))</f>
        <v>#DIV/0!</v>
      </c>
      <c r="S147" s="64" t="e">
        <f t="shared" ref="S147:S178" si="44">IF(ISBLANK(N147),0,R147*ROUND(O147,2))</f>
        <v>#DIV/0!</v>
      </c>
      <c r="T147" s="67" t="e">
        <f t="shared" ref="T147:T178" si="45">ROUND(Q147,2)*R147</f>
        <v>#DIV/0!</v>
      </c>
      <c r="U147" s="64" t="e">
        <f t="shared" ref="U147:U178" si="46">R147*dagenperjaar1</f>
        <v>#DIV/0!</v>
      </c>
      <c r="V147" s="68" t="e">
        <f t="shared" ref="V147:V178" si="47">U147*ROUND(Q147,2)</f>
        <v>#DIV/0!</v>
      </c>
    </row>
    <row r="148" spans="1:22" x14ac:dyDescent="0.3">
      <c r="A148" s="61" t="s">
        <v>384</v>
      </c>
      <c r="B148" s="62" t="s">
        <v>234</v>
      </c>
      <c r="C148" s="62" t="s">
        <v>341</v>
      </c>
      <c r="D148" s="62" t="s">
        <v>459</v>
      </c>
      <c r="E148" s="63" t="s">
        <v>460</v>
      </c>
      <c r="F148" s="62" t="s">
        <v>398</v>
      </c>
      <c r="G148" s="62" t="s">
        <v>179</v>
      </c>
      <c r="H148" s="62" t="s">
        <v>13</v>
      </c>
      <c r="I148" s="62" t="s">
        <v>163</v>
      </c>
      <c r="J148" s="62" t="s">
        <v>273</v>
      </c>
      <c r="K148" s="62" t="s">
        <v>234</v>
      </c>
      <c r="L148" s="64">
        <v>56</v>
      </c>
      <c r="M148" s="64">
        <f t="shared" si="39"/>
        <v>23.058823529411764</v>
      </c>
      <c r="N148" s="65">
        <f t="shared" si="40"/>
        <v>0</v>
      </c>
      <c r="O148" s="66">
        <f t="shared" si="41"/>
        <v>0</v>
      </c>
      <c r="P148" s="62" t="s">
        <v>38</v>
      </c>
      <c r="Q148" s="67">
        <f t="shared" si="42"/>
        <v>0</v>
      </c>
      <c r="R148" s="64" t="e">
        <f t="shared" si="43"/>
        <v>#DIV/0!</v>
      </c>
      <c r="S148" s="64" t="e">
        <f t="shared" si="44"/>
        <v>#DIV/0!</v>
      </c>
      <c r="T148" s="67" t="e">
        <f t="shared" si="45"/>
        <v>#DIV/0!</v>
      </c>
      <c r="U148" s="64" t="e">
        <f t="shared" si="46"/>
        <v>#DIV/0!</v>
      </c>
      <c r="V148" s="68" t="e">
        <f t="shared" si="47"/>
        <v>#DIV/0!</v>
      </c>
    </row>
    <row r="149" spans="1:22" x14ac:dyDescent="0.3">
      <c r="A149" s="61" t="s">
        <v>384</v>
      </c>
      <c r="B149" s="62" t="s">
        <v>234</v>
      </c>
      <c r="C149" s="62" t="s">
        <v>341</v>
      </c>
      <c r="D149" s="62" t="s">
        <v>344</v>
      </c>
      <c r="E149" s="63" t="s">
        <v>460</v>
      </c>
      <c r="F149" s="62" t="s">
        <v>398</v>
      </c>
      <c r="G149" s="62" t="s">
        <v>179</v>
      </c>
      <c r="H149" s="62" t="s">
        <v>13</v>
      </c>
      <c r="I149" s="62" t="s">
        <v>163</v>
      </c>
      <c r="J149" s="62" t="s">
        <v>273</v>
      </c>
      <c r="K149" s="62" t="s">
        <v>234</v>
      </c>
      <c r="L149" s="64">
        <v>54</v>
      </c>
      <c r="M149" s="64">
        <f t="shared" si="39"/>
        <v>22.235294117647058</v>
      </c>
      <c r="N149" s="65">
        <f t="shared" si="40"/>
        <v>0</v>
      </c>
      <c r="O149" s="66">
        <f t="shared" si="41"/>
        <v>0</v>
      </c>
      <c r="P149" s="62" t="s">
        <v>38</v>
      </c>
      <c r="Q149" s="67">
        <f t="shared" si="42"/>
        <v>0</v>
      </c>
      <c r="R149" s="64" t="e">
        <f t="shared" si="43"/>
        <v>#DIV/0!</v>
      </c>
      <c r="S149" s="64" t="e">
        <f t="shared" si="44"/>
        <v>#DIV/0!</v>
      </c>
      <c r="T149" s="67" t="e">
        <f t="shared" si="45"/>
        <v>#DIV/0!</v>
      </c>
      <c r="U149" s="64" t="e">
        <f t="shared" si="46"/>
        <v>#DIV/0!</v>
      </c>
      <c r="V149" s="68" t="e">
        <f t="shared" si="47"/>
        <v>#DIV/0!</v>
      </c>
    </row>
    <row r="150" spans="1:22" x14ac:dyDescent="0.3">
      <c r="A150" s="61" t="s">
        <v>384</v>
      </c>
      <c r="B150" s="62" t="s">
        <v>234</v>
      </c>
      <c r="C150" s="62" t="s">
        <v>341</v>
      </c>
      <c r="D150" s="62" t="s">
        <v>346</v>
      </c>
      <c r="E150" s="63" t="s">
        <v>460</v>
      </c>
      <c r="F150" s="62" t="s">
        <v>398</v>
      </c>
      <c r="G150" s="62" t="s">
        <v>179</v>
      </c>
      <c r="H150" s="62" t="s">
        <v>13</v>
      </c>
      <c r="I150" s="62" t="s">
        <v>163</v>
      </c>
      <c r="J150" s="62" t="s">
        <v>273</v>
      </c>
      <c r="K150" s="62" t="s">
        <v>234</v>
      </c>
      <c r="L150" s="64">
        <v>55</v>
      </c>
      <c r="M150" s="64">
        <f t="shared" si="39"/>
        <v>22.647058823529409</v>
      </c>
      <c r="N150" s="65">
        <f t="shared" si="40"/>
        <v>0</v>
      </c>
      <c r="O150" s="66">
        <f t="shared" si="41"/>
        <v>0</v>
      </c>
      <c r="P150" s="62" t="s">
        <v>38</v>
      </c>
      <c r="Q150" s="67">
        <f t="shared" si="42"/>
        <v>0</v>
      </c>
      <c r="R150" s="64" t="e">
        <f t="shared" si="43"/>
        <v>#DIV/0!</v>
      </c>
      <c r="S150" s="64" t="e">
        <f t="shared" si="44"/>
        <v>#DIV/0!</v>
      </c>
      <c r="T150" s="67" t="e">
        <f t="shared" si="45"/>
        <v>#DIV/0!</v>
      </c>
      <c r="U150" s="64" t="e">
        <f t="shared" si="46"/>
        <v>#DIV/0!</v>
      </c>
      <c r="V150" s="68" t="e">
        <f t="shared" si="47"/>
        <v>#DIV/0!</v>
      </c>
    </row>
    <row r="151" spans="1:22" x14ac:dyDescent="0.3">
      <c r="A151" s="61" t="s">
        <v>384</v>
      </c>
      <c r="B151" s="62" t="s">
        <v>234</v>
      </c>
      <c r="C151" s="62" t="s">
        <v>341</v>
      </c>
      <c r="D151" s="62" t="s">
        <v>347</v>
      </c>
      <c r="E151" s="63" t="s">
        <v>460</v>
      </c>
      <c r="F151" s="62" t="s">
        <v>398</v>
      </c>
      <c r="G151" s="62" t="s">
        <v>179</v>
      </c>
      <c r="H151" s="62" t="s">
        <v>13</v>
      </c>
      <c r="I151" s="62" t="s">
        <v>163</v>
      </c>
      <c r="J151" s="62" t="s">
        <v>273</v>
      </c>
      <c r="K151" s="62" t="s">
        <v>234</v>
      </c>
      <c r="L151" s="64">
        <v>55</v>
      </c>
      <c r="M151" s="64">
        <f t="shared" si="39"/>
        <v>22.647058823529409</v>
      </c>
      <c r="N151" s="65">
        <f t="shared" si="40"/>
        <v>0</v>
      </c>
      <c r="O151" s="66">
        <f t="shared" si="41"/>
        <v>0</v>
      </c>
      <c r="P151" s="62" t="s">
        <v>38</v>
      </c>
      <c r="Q151" s="67">
        <f t="shared" si="42"/>
        <v>0</v>
      </c>
      <c r="R151" s="64" t="e">
        <f t="shared" si="43"/>
        <v>#DIV/0!</v>
      </c>
      <c r="S151" s="64" t="e">
        <f t="shared" si="44"/>
        <v>#DIV/0!</v>
      </c>
      <c r="T151" s="67" t="e">
        <f t="shared" si="45"/>
        <v>#DIV/0!</v>
      </c>
      <c r="U151" s="64" t="e">
        <f t="shared" si="46"/>
        <v>#DIV/0!</v>
      </c>
      <c r="V151" s="68" t="e">
        <f t="shared" si="47"/>
        <v>#DIV/0!</v>
      </c>
    </row>
    <row r="152" spans="1:22" x14ac:dyDescent="0.3">
      <c r="A152" s="61" t="s">
        <v>384</v>
      </c>
      <c r="B152" s="62" t="s">
        <v>234</v>
      </c>
      <c r="C152" s="62" t="s">
        <v>341</v>
      </c>
      <c r="D152" s="62" t="s">
        <v>348</v>
      </c>
      <c r="E152" s="63" t="s">
        <v>460</v>
      </c>
      <c r="F152" s="62" t="s">
        <v>398</v>
      </c>
      <c r="G152" s="62" t="s">
        <v>179</v>
      </c>
      <c r="H152" s="62" t="s">
        <v>13</v>
      </c>
      <c r="I152" s="62" t="s">
        <v>163</v>
      </c>
      <c r="J152" s="62" t="s">
        <v>273</v>
      </c>
      <c r="K152" s="62" t="s">
        <v>234</v>
      </c>
      <c r="L152" s="64">
        <v>115</v>
      </c>
      <c r="M152" s="64">
        <f t="shared" si="39"/>
        <v>47.352941176470587</v>
      </c>
      <c r="N152" s="65">
        <f t="shared" si="40"/>
        <v>0</v>
      </c>
      <c r="O152" s="66">
        <f t="shared" si="41"/>
        <v>0</v>
      </c>
      <c r="P152" s="62" t="s">
        <v>38</v>
      </c>
      <c r="Q152" s="67">
        <f t="shared" si="42"/>
        <v>0</v>
      </c>
      <c r="R152" s="64" t="e">
        <f t="shared" si="43"/>
        <v>#DIV/0!</v>
      </c>
      <c r="S152" s="64" t="e">
        <f t="shared" si="44"/>
        <v>#DIV/0!</v>
      </c>
      <c r="T152" s="67" t="e">
        <f t="shared" si="45"/>
        <v>#DIV/0!</v>
      </c>
      <c r="U152" s="64" t="e">
        <f t="shared" si="46"/>
        <v>#DIV/0!</v>
      </c>
      <c r="V152" s="68" t="e">
        <f t="shared" si="47"/>
        <v>#DIV/0!</v>
      </c>
    </row>
    <row r="153" spans="1:22" x14ac:dyDescent="0.3">
      <c r="A153" s="61" t="s">
        <v>384</v>
      </c>
      <c r="B153" s="62" t="s">
        <v>234</v>
      </c>
      <c r="C153" s="62" t="s">
        <v>341</v>
      </c>
      <c r="D153" s="62" t="s">
        <v>349</v>
      </c>
      <c r="E153" s="63" t="s">
        <v>460</v>
      </c>
      <c r="F153" s="62" t="s">
        <v>398</v>
      </c>
      <c r="G153" s="62" t="s">
        <v>179</v>
      </c>
      <c r="H153" s="62" t="s">
        <v>13</v>
      </c>
      <c r="I153" s="62" t="s">
        <v>163</v>
      </c>
      <c r="J153" s="62" t="s">
        <v>273</v>
      </c>
      <c r="K153" s="62" t="s">
        <v>234</v>
      </c>
      <c r="L153" s="64">
        <v>56</v>
      </c>
      <c r="M153" s="64">
        <f t="shared" si="39"/>
        <v>23.058823529411764</v>
      </c>
      <c r="N153" s="65">
        <f t="shared" si="40"/>
        <v>0</v>
      </c>
      <c r="O153" s="66">
        <f t="shared" si="41"/>
        <v>0</v>
      </c>
      <c r="P153" s="62" t="s">
        <v>38</v>
      </c>
      <c r="Q153" s="67">
        <f t="shared" si="42"/>
        <v>0</v>
      </c>
      <c r="R153" s="64" t="e">
        <f t="shared" si="43"/>
        <v>#DIV/0!</v>
      </c>
      <c r="S153" s="64" t="e">
        <f t="shared" si="44"/>
        <v>#DIV/0!</v>
      </c>
      <c r="T153" s="67" t="e">
        <f t="shared" si="45"/>
        <v>#DIV/0!</v>
      </c>
      <c r="U153" s="64" t="e">
        <f t="shared" si="46"/>
        <v>#DIV/0!</v>
      </c>
      <c r="V153" s="68" t="e">
        <f t="shared" si="47"/>
        <v>#DIV/0!</v>
      </c>
    </row>
    <row r="154" spans="1:22" x14ac:dyDescent="0.3">
      <c r="A154" s="61" t="s">
        <v>384</v>
      </c>
      <c r="B154" s="62" t="s">
        <v>234</v>
      </c>
      <c r="C154" s="62" t="s">
        <v>341</v>
      </c>
      <c r="D154" s="62" t="s">
        <v>351</v>
      </c>
      <c r="E154" s="63" t="s">
        <v>460</v>
      </c>
      <c r="F154" s="62" t="s">
        <v>398</v>
      </c>
      <c r="G154" s="62" t="s">
        <v>179</v>
      </c>
      <c r="H154" s="62" t="s">
        <v>13</v>
      </c>
      <c r="I154" s="62" t="s">
        <v>163</v>
      </c>
      <c r="J154" s="62" t="s">
        <v>273</v>
      </c>
      <c r="K154" s="62" t="s">
        <v>234</v>
      </c>
      <c r="L154" s="64">
        <v>54</v>
      </c>
      <c r="M154" s="64">
        <f t="shared" si="39"/>
        <v>22.235294117647058</v>
      </c>
      <c r="N154" s="65">
        <f t="shared" si="40"/>
        <v>0</v>
      </c>
      <c r="O154" s="66">
        <f t="shared" si="41"/>
        <v>0</v>
      </c>
      <c r="P154" s="62" t="s">
        <v>38</v>
      </c>
      <c r="Q154" s="67">
        <f t="shared" si="42"/>
        <v>0</v>
      </c>
      <c r="R154" s="64" t="e">
        <f t="shared" si="43"/>
        <v>#DIV/0!</v>
      </c>
      <c r="S154" s="64" t="e">
        <f t="shared" si="44"/>
        <v>#DIV/0!</v>
      </c>
      <c r="T154" s="67" t="e">
        <f t="shared" si="45"/>
        <v>#DIV/0!</v>
      </c>
      <c r="U154" s="64" t="e">
        <f t="shared" si="46"/>
        <v>#DIV/0!</v>
      </c>
      <c r="V154" s="68" t="e">
        <f t="shared" si="47"/>
        <v>#DIV/0!</v>
      </c>
    </row>
    <row r="155" spans="1:22" x14ac:dyDescent="0.3">
      <c r="A155" s="61" t="s">
        <v>384</v>
      </c>
      <c r="B155" s="62" t="s">
        <v>234</v>
      </c>
      <c r="C155" s="62" t="s">
        <v>341</v>
      </c>
      <c r="D155" s="62" t="s">
        <v>461</v>
      </c>
      <c r="E155" s="63" t="s">
        <v>460</v>
      </c>
      <c r="F155" s="62" t="s">
        <v>398</v>
      </c>
      <c r="G155" s="62" t="s">
        <v>179</v>
      </c>
      <c r="H155" s="62" t="s">
        <v>13</v>
      </c>
      <c r="I155" s="62" t="s">
        <v>163</v>
      </c>
      <c r="J155" s="62" t="s">
        <v>273</v>
      </c>
      <c r="K155" s="62" t="s">
        <v>234</v>
      </c>
      <c r="L155" s="64">
        <v>55</v>
      </c>
      <c r="M155" s="64">
        <f t="shared" si="39"/>
        <v>22.647058823529409</v>
      </c>
      <c r="N155" s="65">
        <f t="shared" si="40"/>
        <v>0</v>
      </c>
      <c r="O155" s="66">
        <f t="shared" si="41"/>
        <v>0</v>
      </c>
      <c r="P155" s="62" t="s">
        <v>38</v>
      </c>
      <c r="Q155" s="67">
        <f t="shared" si="42"/>
        <v>0</v>
      </c>
      <c r="R155" s="64" t="e">
        <f t="shared" si="43"/>
        <v>#DIV/0!</v>
      </c>
      <c r="S155" s="64" t="e">
        <f t="shared" si="44"/>
        <v>#DIV/0!</v>
      </c>
      <c r="T155" s="67" t="e">
        <f t="shared" si="45"/>
        <v>#DIV/0!</v>
      </c>
      <c r="U155" s="64" t="e">
        <f t="shared" si="46"/>
        <v>#DIV/0!</v>
      </c>
      <c r="V155" s="68" t="e">
        <f t="shared" si="47"/>
        <v>#DIV/0!</v>
      </c>
    </row>
    <row r="156" spans="1:22" x14ac:dyDescent="0.3">
      <c r="A156" s="61" t="s">
        <v>384</v>
      </c>
      <c r="B156" s="62" t="s">
        <v>234</v>
      </c>
      <c r="C156" s="62" t="s">
        <v>341</v>
      </c>
      <c r="D156" s="62" t="s">
        <v>353</v>
      </c>
      <c r="E156" s="63" t="s">
        <v>460</v>
      </c>
      <c r="F156" s="62" t="s">
        <v>398</v>
      </c>
      <c r="G156" s="62" t="s">
        <v>179</v>
      </c>
      <c r="H156" s="62" t="s">
        <v>13</v>
      </c>
      <c r="I156" s="62" t="s">
        <v>163</v>
      </c>
      <c r="J156" s="62" t="s">
        <v>273</v>
      </c>
      <c r="K156" s="62" t="s">
        <v>234</v>
      </c>
      <c r="L156" s="64">
        <v>56</v>
      </c>
      <c r="M156" s="64">
        <f t="shared" si="39"/>
        <v>23.058823529411764</v>
      </c>
      <c r="N156" s="65">
        <f t="shared" si="40"/>
        <v>0</v>
      </c>
      <c r="O156" s="66">
        <f t="shared" si="41"/>
        <v>0</v>
      </c>
      <c r="P156" s="62" t="s">
        <v>38</v>
      </c>
      <c r="Q156" s="67">
        <f t="shared" si="42"/>
        <v>0</v>
      </c>
      <c r="R156" s="64" t="e">
        <f t="shared" si="43"/>
        <v>#DIV/0!</v>
      </c>
      <c r="S156" s="64" t="e">
        <f t="shared" si="44"/>
        <v>#DIV/0!</v>
      </c>
      <c r="T156" s="67" t="e">
        <f t="shared" si="45"/>
        <v>#DIV/0!</v>
      </c>
      <c r="U156" s="64" t="e">
        <f t="shared" si="46"/>
        <v>#DIV/0!</v>
      </c>
      <c r="V156" s="68" t="e">
        <f t="shared" si="47"/>
        <v>#DIV/0!</v>
      </c>
    </row>
    <row r="157" spans="1:22" x14ac:dyDescent="0.3">
      <c r="A157" s="61" t="s">
        <v>384</v>
      </c>
      <c r="B157" s="62" t="s">
        <v>234</v>
      </c>
      <c r="C157" s="62" t="s">
        <v>341</v>
      </c>
      <c r="D157" s="62" t="s">
        <v>355</v>
      </c>
      <c r="E157" s="63" t="s">
        <v>460</v>
      </c>
      <c r="F157" s="62" t="s">
        <v>398</v>
      </c>
      <c r="G157" s="62" t="s">
        <v>179</v>
      </c>
      <c r="H157" s="62" t="s">
        <v>13</v>
      </c>
      <c r="I157" s="62" t="s">
        <v>163</v>
      </c>
      <c r="J157" s="62" t="s">
        <v>273</v>
      </c>
      <c r="K157" s="62" t="s">
        <v>234</v>
      </c>
      <c r="L157" s="64">
        <v>55</v>
      </c>
      <c r="M157" s="64">
        <f t="shared" si="39"/>
        <v>22.647058823529409</v>
      </c>
      <c r="N157" s="65">
        <f t="shared" si="40"/>
        <v>0</v>
      </c>
      <c r="O157" s="66">
        <f t="shared" si="41"/>
        <v>0</v>
      </c>
      <c r="P157" s="62" t="s">
        <v>38</v>
      </c>
      <c r="Q157" s="67">
        <f t="shared" si="42"/>
        <v>0</v>
      </c>
      <c r="R157" s="64" t="e">
        <f t="shared" si="43"/>
        <v>#DIV/0!</v>
      </c>
      <c r="S157" s="64" t="e">
        <f t="shared" si="44"/>
        <v>#DIV/0!</v>
      </c>
      <c r="T157" s="67" t="e">
        <f t="shared" si="45"/>
        <v>#DIV/0!</v>
      </c>
      <c r="U157" s="64" t="e">
        <f t="shared" si="46"/>
        <v>#DIV/0!</v>
      </c>
      <c r="V157" s="68" t="e">
        <f t="shared" si="47"/>
        <v>#DIV/0!</v>
      </c>
    </row>
    <row r="158" spans="1:22" x14ac:dyDescent="0.3">
      <c r="A158" s="61" t="s">
        <v>384</v>
      </c>
      <c r="B158" s="62" t="s">
        <v>234</v>
      </c>
      <c r="C158" s="62" t="s">
        <v>341</v>
      </c>
      <c r="D158" s="62" t="s">
        <v>357</v>
      </c>
      <c r="E158" s="63" t="s">
        <v>460</v>
      </c>
      <c r="F158" s="62" t="s">
        <v>398</v>
      </c>
      <c r="G158" s="62" t="s">
        <v>179</v>
      </c>
      <c r="H158" s="62" t="s">
        <v>13</v>
      </c>
      <c r="I158" s="62" t="s">
        <v>163</v>
      </c>
      <c r="J158" s="62" t="s">
        <v>273</v>
      </c>
      <c r="K158" s="62" t="s">
        <v>234</v>
      </c>
      <c r="L158" s="64">
        <v>54</v>
      </c>
      <c r="M158" s="64">
        <f t="shared" si="39"/>
        <v>22.235294117647058</v>
      </c>
      <c r="N158" s="65">
        <f t="shared" si="40"/>
        <v>0</v>
      </c>
      <c r="O158" s="66">
        <f t="shared" si="41"/>
        <v>0</v>
      </c>
      <c r="P158" s="62" t="s">
        <v>38</v>
      </c>
      <c r="Q158" s="67">
        <f t="shared" si="42"/>
        <v>0</v>
      </c>
      <c r="R158" s="64" t="e">
        <f t="shared" si="43"/>
        <v>#DIV/0!</v>
      </c>
      <c r="S158" s="64" t="e">
        <f t="shared" si="44"/>
        <v>#DIV/0!</v>
      </c>
      <c r="T158" s="67" t="e">
        <f t="shared" si="45"/>
        <v>#DIV/0!</v>
      </c>
      <c r="U158" s="64" t="e">
        <f t="shared" si="46"/>
        <v>#DIV/0!</v>
      </c>
      <c r="V158" s="68" t="e">
        <f t="shared" si="47"/>
        <v>#DIV/0!</v>
      </c>
    </row>
    <row r="159" spans="1:22" x14ac:dyDescent="0.3">
      <c r="A159" s="61" t="s">
        <v>384</v>
      </c>
      <c r="B159" s="62" t="s">
        <v>234</v>
      </c>
      <c r="C159" s="62" t="s">
        <v>341</v>
      </c>
      <c r="D159" s="62" t="s">
        <v>360</v>
      </c>
      <c r="E159" s="63" t="s">
        <v>460</v>
      </c>
      <c r="F159" s="62" t="s">
        <v>398</v>
      </c>
      <c r="G159" s="62" t="s">
        <v>179</v>
      </c>
      <c r="H159" s="62" t="s">
        <v>13</v>
      </c>
      <c r="I159" s="62" t="s">
        <v>163</v>
      </c>
      <c r="J159" s="62" t="s">
        <v>273</v>
      </c>
      <c r="K159" s="62" t="s">
        <v>234</v>
      </c>
      <c r="L159" s="64">
        <v>55</v>
      </c>
      <c r="M159" s="64">
        <f t="shared" si="39"/>
        <v>22.647058823529409</v>
      </c>
      <c r="N159" s="65">
        <f t="shared" si="40"/>
        <v>0</v>
      </c>
      <c r="O159" s="66">
        <f t="shared" si="41"/>
        <v>0</v>
      </c>
      <c r="P159" s="62" t="s">
        <v>38</v>
      </c>
      <c r="Q159" s="67">
        <f t="shared" si="42"/>
        <v>0</v>
      </c>
      <c r="R159" s="64" t="e">
        <f t="shared" si="43"/>
        <v>#DIV/0!</v>
      </c>
      <c r="S159" s="64" t="e">
        <f t="shared" si="44"/>
        <v>#DIV/0!</v>
      </c>
      <c r="T159" s="67" t="e">
        <f t="shared" si="45"/>
        <v>#DIV/0!</v>
      </c>
      <c r="U159" s="64" t="e">
        <f t="shared" si="46"/>
        <v>#DIV/0!</v>
      </c>
      <c r="V159" s="68" t="e">
        <f t="shared" si="47"/>
        <v>#DIV/0!</v>
      </c>
    </row>
    <row r="160" spans="1:22" x14ac:dyDescent="0.3">
      <c r="A160" s="61" t="s">
        <v>384</v>
      </c>
      <c r="B160" s="62" t="s">
        <v>234</v>
      </c>
      <c r="C160" s="62" t="s">
        <v>341</v>
      </c>
      <c r="D160" s="62" t="s">
        <v>362</v>
      </c>
      <c r="E160" s="63" t="s">
        <v>460</v>
      </c>
      <c r="F160" s="62" t="s">
        <v>398</v>
      </c>
      <c r="G160" s="62" t="s">
        <v>179</v>
      </c>
      <c r="H160" s="62" t="s">
        <v>13</v>
      </c>
      <c r="I160" s="62" t="s">
        <v>163</v>
      </c>
      <c r="J160" s="62" t="s">
        <v>273</v>
      </c>
      <c r="K160" s="62" t="s">
        <v>234</v>
      </c>
      <c r="L160" s="64">
        <v>41</v>
      </c>
      <c r="M160" s="64">
        <f t="shared" si="39"/>
        <v>16.882352941176471</v>
      </c>
      <c r="N160" s="65">
        <f t="shared" si="40"/>
        <v>0</v>
      </c>
      <c r="O160" s="66">
        <f t="shared" si="41"/>
        <v>0</v>
      </c>
      <c r="P160" s="62" t="s">
        <v>38</v>
      </c>
      <c r="Q160" s="67">
        <f t="shared" si="42"/>
        <v>0</v>
      </c>
      <c r="R160" s="64" t="e">
        <f t="shared" si="43"/>
        <v>#DIV/0!</v>
      </c>
      <c r="S160" s="64" t="e">
        <f t="shared" si="44"/>
        <v>#DIV/0!</v>
      </c>
      <c r="T160" s="67" t="e">
        <f t="shared" si="45"/>
        <v>#DIV/0!</v>
      </c>
      <c r="U160" s="64" t="e">
        <f t="shared" si="46"/>
        <v>#DIV/0!</v>
      </c>
      <c r="V160" s="68" t="e">
        <f t="shared" si="47"/>
        <v>#DIV/0!</v>
      </c>
    </row>
    <row r="161" spans="1:22" x14ac:dyDescent="0.3">
      <c r="A161" s="61" t="s">
        <v>384</v>
      </c>
      <c r="B161" s="62" t="s">
        <v>234</v>
      </c>
      <c r="C161" s="62" t="s">
        <v>341</v>
      </c>
      <c r="D161" s="62" t="s">
        <v>364</v>
      </c>
      <c r="E161" s="63" t="s">
        <v>460</v>
      </c>
      <c r="F161" s="62" t="s">
        <v>398</v>
      </c>
      <c r="G161" s="62" t="s">
        <v>179</v>
      </c>
      <c r="H161" s="62" t="s">
        <v>13</v>
      </c>
      <c r="I161" s="62" t="s">
        <v>163</v>
      </c>
      <c r="J161" s="62" t="s">
        <v>273</v>
      </c>
      <c r="K161" s="62" t="s">
        <v>234</v>
      </c>
      <c r="L161" s="64">
        <v>55</v>
      </c>
      <c r="M161" s="64">
        <f t="shared" si="39"/>
        <v>22.647058823529409</v>
      </c>
      <c r="N161" s="65">
        <f t="shared" si="40"/>
        <v>0</v>
      </c>
      <c r="O161" s="66">
        <f t="shared" si="41"/>
        <v>0</v>
      </c>
      <c r="P161" s="62" t="s">
        <v>38</v>
      </c>
      <c r="Q161" s="67">
        <f t="shared" si="42"/>
        <v>0</v>
      </c>
      <c r="R161" s="64" t="e">
        <f t="shared" si="43"/>
        <v>#DIV/0!</v>
      </c>
      <c r="S161" s="64" t="e">
        <f t="shared" si="44"/>
        <v>#DIV/0!</v>
      </c>
      <c r="T161" s="67" t="e">
        <f t="shared" si="45"/>
        <v>#DIV/0!</v>
      </c>
      <c r="U161" s="64" t="e">
        <f t="shared" si="46"/>
        <v>#DIV/0!</v>
      </c>
      <c r="V161" s="68" t="e">
        <f t="shared" si="47"/>
        <v>#DIV/0!</v>
      </c>
    </row>
    <row r="162" spans="1:22" x14ac:dyDescent="0.3">
      <c r="A162" s="61" t="s">
        <v>384</v>
      </c>
      <c r="B162" s="62" t="s">
        <v>234</v>
      </c>
      <c r="C162" s="62" t="s">
        <v>341</v>
      </c>
      <c r="D162" s="62" t="s">
        <v>366</v>
      </c>
      <c r="E162" s="63" t="s">
        <v>460</v>
      </c>
      <c r="F162" s="62" t="s">
        <v>398</v>
      </c>
      <c r="G162" s="62" t="s">
        <v>179</v>
      </c>
      <c r="H162" s="62" t="s">
        <v>13</v>
      </c>
      <c r="I162" s="62" t="s">
        <v>163</v>
      </c>
      <c r="J162" s="62" t="s">
        <v>273</v>
      </c>
      <c r="K162" s="62" t="s">
        <v>234</v>
      </c>
      <c r="L162" s="64">
        <v>55</v>
      </c>
      <c r="M162" s="64">
        <f t="shared" si="39"/>
        <v>22.647058823529409</v>
      </c>
      <c r="N162" s="65">
        <f t="shared" si="40"/>
        <v>0</v>
      </c>
      <c r="O162" s="66">
        <f t="shared" si="41"/>
        <v>0</v>
      </c>
      <c r="P162" s="62" t="s">
        <v>38</v>
      </c>
      <c r="Q162" s="67">
        <f t="shared" si="42"/>
        <v>0</v>
      </c>
      <c r="R162" s="64" t="e">
        <f t="shared" si="43"/>
        <v>#DIV/0!</v>
      </c>
      <c r="S162" s="64" t="e">
        <f t="shared" si="44"/>
        <v>#DIV/0!</v>
      </c>
      <c r="T162" s="67" t="e">
        <f t="shared" si="45"/>
        <v>#DIV/0!</v>
      </c>
      <c r="U162" s="64" t="e">
        <f t="shared" si="46"/>
        <v>#DIV/0!</v>
      </c>
      <c r="V162" s="68" t="e">
        <f t="shared" si="47"/>
        <v>#DIV/0!</v>
      </c>
    </row>
    <row r="163" spans="1:22" x14ac:dyDescent="0.3">
      <c r="A163" s="61" t="s">
        <v>384</v>
      </c>
      <c r="B163" s="62" t="s">
        <v>234</v>
      </c>
      <c r="C163" s="62" t="s">
        <v>341</v>
      </c>
      <c r="D163" s="62" t="s">
        <v>367</v>
      </c>
      <c r="E163" s="63" t="s">
        <v>460</v>
      </c>
      <c r="F163" s="62" t="s">
        <v>398</v>
      </c>
      <c r="G163" s="62" t="s">
        <v>179</v>
      </c>
      <c r="H163" s="62" t="s">
        <v>13</v>
      </c>
      <c r="I163" s="62" t="s">
        <v>163</v>
      </c>
      <c r="J163" s="62" t="s">
        <v>273</v>
      </c>
      <c r="K163" s="62" t="s">
        <v>234</v>
      </c>
      <c r="L163" s="64">
        <v>55</v>
      </c>
      <c r="M163" s="64">
        <f t="shared" si="39"/>
        <v>22.647058823529409</v>
      </c>
      <c r="N163" s="65">
        <f t="shared" si="40"/>
        <v>0</v>
      </c>
      <c r="O163" s="66">
        <f t="shared" si="41"/>
        <v>0</v>
      </c>
      <c r="P163" s="62" t="s">
        <v>38</v>
      </c>
      <c r="Q163" s="67">
        <f t="shared" si="42"/>
        <v>0</v>
      </c>
      <c r="R163" s="64" t="e">
        <f t="shared" si="43"/>
        <v>#DIV/0!</v>
      </c>
      <c r="S163" s="64" t="e">
        <f t="shared" si="44"/>
        <v>#DIV/0!</v>
      </c>
      <c r="T163" s="67" t="e">
        <f t="shared" si="45"/>
        <v>#DIV/0!</v>
      </c>
      <c r="U163" s="64" t="e">
        <f t="shared" si="46"/>
        <v>#DIV/0!</v>
      </c>
      <c r="V163" s="68" t="e">
        <f t="shared" si="47"/>
        <v>#DIV/0!</v>
      </c>
    </row>
    <row r="164" spans="1:22" x14ac:dyDescent="0.3">
      <c r="A164" s="61" t="s">
        <v>384</v>
      </c>
      <c r="B164" s="62" t="s">
        <v>234</v>
      </c>
      <c r="C164" s="62" t="s">
        <v>341</v>
      </c>
      <c r="D164" s="62" t="s">
        <v>368</v>
      </c>
      <c r="E164" s="63" t="s">
        <v>460</v>
      </c>
      <c r="F164" s="62" t="s">
        <v>398</v>
      </c>
      <c r="G164" s="62" t="s">
        <v>179</v>
      </c>
      <c r="H164" s="62" t="s">
        <v>13</v>
      </c>
      <c r="I164" s="62" t="s">
        <v>163</v>
      </c>
      <c r="J164" s="62" t="s">
        <v>273</v>
      </c>
      <c r="K164" s="62" t="s">
        <v>234</v>
      </c>
      <c r="L164" s="64">
        <v>0</v>
      </c>
      <c r="M164" s="64">
        <f t="shared" si="39"/>
        <v>0</v>
      </c>
      <c r="N164" s="65"/>
      <c r="O164" s="66"/>
      <c r="P164" s="62" t="s">
        <v>38</v>
      </c>
      <c r="Q164" s="67"/>
      <c r="R164" s="64">
        <f t="shared" si="43"/>
        <v>0</v>
      </c>
      <c r="S164" s="64">
        <f t="shared" si="44"/>
        <v>0</v>
      </c>
      <c r="T164" s="67">
        <f t="shared" si="45"/>
        <v>0</v>
      </c>
      <c r="U164" s="64">
        <f t="shared" si="46"/>
        <v>0</v>
      </c>
      <c r="V164" s="68">
        <f t="shared" si="47"/>
        <v>0</v>
      </c>
    </row>
    <row r="165" spans="1:22" x14ac:dyDescent="0.3">
      <c r="A165" s="61" t="s">
        <v>384</v>
      </c>
      <c r="B165" s="62" t="s">
        <v>234</v>
      </c>
      <c r="C165" s="62" t="s">
        <v>341</v>
      </c>
      <c r="D165" s="62" t="s">
        <v>462</v>
      </c>
      <c r="E165" s="63" t="s">
        <v>460</v>
      </c>
      <c r="F165" s="62" t="s">
        <v>398</v>
      </c>
      <c r="G165" s="62" t="s">
        <v>179</v>
      </c>
      <c r="H165" s="62" t="s">
        <v>13</v>
      </c>
      <c r="I165" s="62" t="s">
        <v>163</v>
      </c>
      <c r="J165" s="62" t="s">
        <v>273</v>
      </c>
      <c r="K165" s="62" t="s">
        <v>234</v>
      </c>
      <c r="L165" s="64">
        <v>0</v>
      </c>
      <c r="M165" s="64">
        <f t="shared" si="39"/>
        <v>0</v>
      </c>
      <c r="N165" s="65"/>
      <c r="O165" s="66"/>
      <c r="P165" s="62" t="s">
        <v>38</v>
      </c>
      <c r="Q165" s="67"/>
      <c r="R165" s="64">
        <f t="shared" si="43"/>
        <v>0</v>
      </c>
      <c r="S165" s="64">
        <f t="shared" si="44"/>
        <v>0</v>
      </c>
      <c r="T165" s="67">
        <f t="shared" si="45"/>
        <v>0</v>
      </c>
      <c r="U165" s="64">
        <f t="shared" si="46"/>
        <v>0</v>
      </c>
      <c r="V165" s="68">
        <f t="shared" si="47"/>
        <v>0</v>
      </c>
    </row>
    <row r="166" spans="1:22" x14ac:dyDescent="0.3">
      <c r="A166" s="61" t="s">
        <v>384</v>
      </c>
      <c r="B166" s="62" t="s">
        <v>234</v>
      </c>
      <c r="C166" s="62" t="s">
        <v>341</v>
      </c>
      <c r="D166" s="62" t="s">
        <v>370</v>
      </c>
      <c r="E166" s="63" t="s">
        <v>388</v>
      </c>
      <c r="F166" s="62" t="s">
        <v>270</v>
      </c>
      <c r="G166" s="62" t="s">
        <v>203</v>
      </c>
      <c r="H166" s="62" t="s">
        <v>10</v>
      </c>
      <c r="I166" s="62" t="s">
        <v>163</v>
      </c>
      <c r="J166" s="62" t="s">
        <v>246</v>
      </c>
      <c r="K166" s="62" t="s">
        <v>234</v>
      </c>
      <c r="L166" s="64">
        <v>11</v>
      </c>
      <c r="M166" s="64">
        <f t="shared" si="39"/>
        <v>9.0588235294117645</v>
      </c>
      <c r="N166" s="65">
        <f t="shared" ref="N166:N171" si="48">prodnorm24</f>
        <v>0</v>
      </c>
      <c r="O166" s="66">
        <f t="shared" ref="O166:O171" si="49">dagwerk24</f>
        <v>0</v>
      </c>
      <c r="P166" s="62" t="s">
        <v>38</v>
      </c>
      <c r="Q166" s="67">
        <f t="shared" ref="Q166:Q171" si="50">uurtarief24</f>
        <v>0</v>
      </c>
      <c r="R166" s="64" t="e">
        <f t="shared" si="43"/>
        <v>#DIV/0!</v>
      </c>
      <c r="S166" s="64" t="e">
        <f t="shared" si="44"/>
        <v>#DIV/0!</v>
      </c>
      <c r="T166" s="67" t="e">
        <f t="shared" si="45"/>
        <v>#DIV/0!</v>
      </c>
      <c r="U166" s="64" t="e">
        <f t="shared" si="46"/>
        <v>#DIV/0!</v>
      </c>
      <c r="V166" s="68" t="e">
        <f t="shared" si="47"/>
        <v>#DIV/0!</v>
      </c>
    </row>
    <row r="167" spans="1:22" x14ac:dyDescent="0.3">
      <c r="A167" s="61" t="s">
        <v>384</v>
      </c>
      <c r="B167" s="62" t="s">
        <v>234</v>
      </c>
      <c r="C167" s="62" t="s">
        <v>341</v>
      </c>
      <c r="D167" s="62" t="s">
        <v>372</v>
      </c>
      <c r="E167" s="63" t="s">
        <v>388</v>
      </c>
      <c r="F167" s="62" t="s">
        <v>270</v>
      </c>
      <c r="G167" s="62" t="s">
        <v>203</v>
      </c>
      <c r="H167" s="62" t="s">
        <v>10</v>
      </c>
      <c r="I167" s="62" t="s">
        <v>163</v>
      </c>
      <c r="J167" s="62" t="s">
        <v>246</v>
      </c>
      <c r="K167" s="62" t="s">
        <v>234</v>
      </c>
      <c r="L167" s="64">
        <v>10</v>
      </c>
      <c r="M167" s="64">
        <f t="shared" si="39"/>
        <v>8.235294117647058</v>
      </c>
      <c r="N167" s="65">
        <f t="shared" si="48"/>
        <v>0</v>
      </c>
      <c r="O167" s="66">
        <f t="shared" si="49"/>
        <v>0</v>
      </c>
      <c r="P167" s="62" t="s">
        <v>38</v>
      </c>
      <c r="Q167" s="67">
        <f t="shared" si="50"/>
        <v>0</v>
      </c>
      <c r="R167" s="64" t="e">
        <f t="shared" si="43"/>
        <v>#DIV/0!</v>
      </c>
      <c r="S167" s="64" t="e">
        <f t="shared" si="44"/>
        <v>#DIV/0!</v>
      </c>
      <c r="T167" s="67" t="e">
        <f t="shared" si="45"/>
        <v>#DIV/0!</v>
      </c>
      <c r="U167" s="64" t="e">
        <f t="shared" si="46"/>
        <v>#DIV/0!</v>
      </c>
      <c r="V167" s="68" t="e">
        <f t="shared" si="47"/>
        <v>#DIV/0!</v>
      </c>
    </row>
    <row r="168" spans="1:22" x14ac:dyDescent="0.3">
      <c r="A168" s="61" t="s">
        <v>384</v>
      </c>
      <c r="B168" s="62" t="s">
        <v>234</v>
      </c>
      <c r="C168" s="62" t="s">
        <v>341</v>
      </c>
      <c r="D168" s="62" t="s">
        <v>374</v>
      </c>
      <c r="E168" s="63" t="s">
        <v>388</v>
      </c>
      <c r="F168" s="62" t="s">
        <v>270</v>
      </c>
      <c r="G168" s="62" t="s">
        <v>203</v>
      </c>
      <c r="H168" s="62" t="s">
        <v>10</v>
      </c>
      <c r="I168" s="62" t="s">
        <v>163</v>
      </c>
      <c r="J168" s="62" t="s">
        <v>246</v>
      </c>
      <c r="K168" s="62" t="s">
        <v>234</v>
      </c>
      <c r="L168" s="64">
        <v>11</v>
      </c>
      <c r="M168" s="64">
        <f t="shared" si="39"/>
        <v>9.0588235294117645</v>
      </c>
      <c r="N168" s="65">
        <f t="shared" si="48"/>
        <v>0</v>
      </c>
      <c r="O168" s="66">
        <f t="shared" si="49"/>
        <v>0</v>
      </c>
      <c r="P168" s="62" t="s">
        <v>38</v>
      </c>
      <c r="Q168" s="67">
        <f t="shared" si="50"/>
        <v>0</v>
      </c>
      <c r="R168" s="64" t="e">
        <f t="shared" si="43"/>
        <v>#DIV/0!</v>
      </c>
      <c r="S168" s="64" t="e">
        <f t="shared" si="44"/>
        <v>#DIV/0!</v>
      </c>
      <c r="T168" s="67" t="e">
        <f t="shared" si="45"/>
        <v>#DIV/0!</v>
      </c>
      <c r="U168" s="64" t="e">
        <f t="shared" si="46"/>
        <v>#DIV/0!</v>
      </c>
      <c r="V168" s="68" t="e">
        <f t="shared" si="47"/>
        <v>#DIV/0!</v>
      </c>
    </row>
    <row r="169" spans="1:22" x14ac:dyDescent="0.3">
      <c r="A169" s="61" t="s">
        <v>384</v>
      </c>
      <c r="B169" s="62" t="s">
        <v>234</v>
      </c>
      <c r="C169" s="62" t="s">
        <v>341</v>
      </c>
      <c r="D169" s="62" t="s">
        <v>463</v>
      </c>
      <c r="E169" s="63" t="s">
        <v>388</v>
      </c>
      <c r="F169" s="62" t="s">
        <v>270</v>
      </c>
      <c r="G169" s="62" t="s">
        <v>203</v>
      </c>
      <c r="H169" s="62" t="s">
        <v>10</v>
      </c>
      <c r="I169" s="62" t="s">
        <v>163</v>
      </c>
      <c r="J169" s="62" t="s">
        <v>246</v>
      </c>
      <c r="K169" s="62" t="s">
        <v>234</v>
      </c>
      <c r="L169" s="64">
        <v>10</v>
      </c>
      <c r="M169" s="64">
        <f t="shared" si="39"/>
        <v>8.235294117647058</v>
      </c>
      <c r="N169" s="65">
        <f t="shared" si="48"/>
        <v>0</v>
      </c>
      <c r="O169" s="66">
        <f t="shared" si="49"/>
        <v>0</v>
      </c>
      <c r="P169" s="62" t="s">
        <v>38</v>
      </c>
      <c r="Q169" s="67">
        <f t="shared" si="50"/>
        <v>0</v>
      </c>
      <c r="R169" s="64" t="e">
        <f t="shared" si="43"/>
        <v>#DIV/0!</v>
      </c>
      <c r="S169" s="64" t="e">
        <f t="shared" si="44"/>
        <v>#DIV/0!</v>
      </c>
      <c r="T169" s="67" t="e">
        <f t="shared" si="45"/>
        <v>#DIV/0!</v>
      </c>
      <c r="U169" s="64" t="e">
        <f t="shared" si="46"/>
        <v>#DIV/0!</v>
      </c>
      <c r="V169" s="68" t="e">
        <f t="shared" si="47"/>
        <v>#DIV/0!</v>
      </c>
    </row>
    <row r="170" spans="1:22" x14ac:dyDescent="0.3">
      <c r="A170" s="61" t="s">
        <v>384</v>
      </c>
      <c r="B170" s="62" t="s">
        <v>234</v>
      </c>
      <c r="C170" s="62" t="s">
        <v>341</v>
      </c>
      <c r="D170" s="62" t="s">
        <v>464</v>
      </c>
      <c r="E170" s="63" t="s">
        <v>388</v>
      </c>
      <c r="F170" s="62" t="s">
        <v>270</v>
      </c>
      <c r="G170" s="62" t="s">
        <v>203</v>
      </c>
      <c r="H170" s="62" t="s">
        <v>10</v>
      </c>
      <c r="I170" s="62" t="s">
        <v>163</v>
      </c>
      <c r="J170" s="62" t="s">
        <v>246</v>
      </c>
      <c r="K170" s="62" t="s">
        <v>234</v>
      </c>
      <c r="L170" s="64">
        <v>11</v>
      </c>
      <c r="M170" s="64">
        <f t="shared" si="39"/>
        <v>9.0588235294117645</v>
      </c>
      <c r="N170" s="65">
        <f t="shared" si="48"/>
        <v>0</v>
      </c>
      <c r="O170" s="66">
        <f t="shared" si="49"/>
        <v>0</v>
      </c>
      <c r="P170" s="62" t="s">
        <v>38</v>
      </c>
      <c r="Q170" s="67">
        <f t="shared" si="50"/>
        <v>0</v>
      </c>
      <c r="R170" s="64" t="e">
        <f t="shared" si="43"/>
        <v>#DIV/0!</v>
      </c>
      <c r="S170" s="64" t="e">
        <f t="shared" si="44"/>
        <v>#DIV/0!</v>
      </c>
      <c r="T170" s="67" t="e">
        <f t="shared" si="45"/>
        <v>#DIV/0!</v>
      </c>
      <c r="U170" s="64" t="e">
        <f t="shared" si="46"/>
        <v>#DIV/0!</v>
      </c>
      <c r="V170" s="68" t="e">
        <f t="shared" si="47"/>
        <v>#DIV/0!</v>
      </c>
    </row>
    <row r="171" spans="1:22" x14ac:dyDescent="0.3">
      <c r="A171" s="61" t="s">
        <v>384</v>
      </c>
      <c r="B171" s="62" t="s">
        <v>234</v>
      </c>
      <c r="C171" s="62" t="s">
        <v>341</v>
      </c>
      <c r="D171" s="62" t="s">
        <v>465</v>
      </c>
      <c r="E171" s="63" t="s">
        <v>388</v>
      </c>
      <c r="F171" s="62" t="s">
        <v>270</v>
      </c>
      <c r="G171" s="62" t="s">
        <v>203</v>
      </c>
      <c r="H171" s="62" t="s">
        <v>10</v>
      </c>
      <c r="I171" s="62" t="s">
        <v>163</v>
      </c>
      <c r="J171" s="62" t="s">
        <v>246</v>
      </c>
      <c r="K171" s="62" t="s">
        <v>234</v>
      </c>
      <c r="L171" s="64">
        <v>10</v>
      </c>
      <c r="M171" s="64">
        <f t="shared" si="39"/>
        <v>8.235294117647058</v>
      </c>
      <c r="N171" s="65">
        <f t="shared" si="48"/>
        <v>0</v>
      </c>
      <c r="O171" s="66">
        <f t="shared" si="49"/>
        <v>0</v>
      </c>
      <c r="P171" s="62" t="s">
        <v>38</v>
      </c>
      <c r="Q171" s="67">
        <f t="shared" si="50"/>
        <v>0</v>
      </c>
      <c r="R171" s="64" t="e">
        <f t="shared" si="43"/>
        <v>#DIV/0!</v>
      </c>
      <c r="S171" s="64" t="e">
        <f t="shared" si="44"/>
        <v>#DIV/0!</v>
      </c>
      <c r="T171" s="67" t="e">
        <f t="shared" si="45"/>
        <v>#DIV/0!</v>
      </c>
      <c r="U171" s="64" t="e">
        <f t="shared" si="46"/>
        <v>#DIV/0!</v>
      </c>
      <c r="V171" s="68" t="e">
        <f t="shared" si="47"/>
        <v>#DIV/0!</v>
      </c>
    </row>
    <row r="172" spans="1:22" x14ac:dyDescent="0.3">
      <c r="A172" s="61" t="s">
        <v>384</v>
      </c>
      <c r="B172" s="62" t="s">
        <v>234</v>
      </c>
      <c r="C172" s="62" t="s">
        <v>341</v>
      </c>
      <c r="D172" s="62" t="s">
        <v>466</v>
      </c>
      <c r="E172" s="63" t="s">
        <v>431</v>
      </c>
      <c r="F172" s="62" t="s">
        <v>260</v>
      </c>
      <c r="G172" s="62" t="s">
        <v>165</v>
      </c>
      <c r="H172" s="62" t="s">
        <v>13</v>
      </c>
      <c r="I172" s="62" t="s">
        <v>163</v>
      </c>
      <c r="J172" s="62" t="s">
        <v>261</v>
      </c>
      <c r="K172" s="62" t="s">
        <v>234</v>
      </c>
      <c r="L172" s="64">
        <v>24</v>
      </c>
      <c r="M172" s="64">
        <f t="shared" si="39"/>
        <v>9.882352941176471</v>
      </c>
      <c r="N172" s="65">
        <f t="shared" ref="N172:N178" si="51">prodnorm2</f>
        <v>0</v>
      </c>
      <c r="O172" s="66">
        <f t="shared" ref="O172:O178" si="52">dagwerk2</f>
        <v>0</v>
      </c>
      <c r="P172" s="62" t="s">
        <v>38</v>
      </c>
      <c r="Q172" s="67">
        <f t="shared" ref="Q172:Q178" si="53">uurtarief2</f>
        <v>0</v>
      </c>
      <c r="R172" s="64" t="e">
        <f t="shared" si="43"/>
        <v>#DIV/0!</v>
      </c>
      <c r="S172" s="64" t="e">
        <f t="shared" si="44"/>
        <v>#DIV/0!</v>
      </c>
      <c r="T172" s="67" t="e">
        <f t="shared" si="45"/>
        <v>#DIV/0!</v>
      </c>
      <c r="U172" s="64" t="e">
        <f t="shared" si="46"/>
        <v>#DIV/0!</v>
      </c>
      <c r="V172" s="68" t="e">
        <f t="shared" si="47"/>
        <v>#DIV/0!</v>
      </c>
    </row>
    <row r="173" spans="1:22" x14ac:dyDescent="0.3">
      <c r="A173" s="61" t="s">
        <v>384</v>
      </c>
      <c r="B173" s="62" t="s">
        <v>234</v>
      </c>
      <c r="C173" s="62" t="s">
        <v>341</v>
      </c>
      <c r="D173" s="62" t="s">
        <v>467</v>
      </c>
      <c r="E173" s="63" t="s">
        <v>431</v>
      </c>
      <c r="F173" s="62" t="s">
        <v>260</v>
      </c>
      <c r="G173" s="62" t="s">
        <v>165</v>
      </c>
      <c r="H173" s="62" t="s">
        <v>13</v>
      </c>
      <c r="I173" s="62" t="s">
        <v>163</v>
      </c>
      <c r="J173" s="62" t="s">
        <v>261</v>
      </c>
      <c r="K173" s="62" t="s">
        <v>234</v>
      </c>
      <c r="L173" s="64">
        <v>25</v>
      </c>
      <c r="M173" s="64">
        <f t="shared" si="39"/>
        <v>10.294117647058822</v>
      </c>
      <c r="N173" s="65">
        <f t="shared" si="51"/>
        <v>0</v>
      </c>
      <c r="O173" s="66">
        <f t="shared" si="52"/>
        <v>0</v>
      </c>
      <c r="P173" s="62" t="s">
        <v>38</v>
      </c>
      <c r="Q173" s="67">
        <f t="shared" si="53"/>
        <v>0</v>
      </c>
      <c r="R173" s="64" t="e">
        <f t="shared" si="43"/>
        <v>#DIV/0!</v>
      </c>
      <c r="S173" s="64" t="e">
        <f t="shared" si="44"/>
        <v>#DIV/0!</v>
      </c>
      <c r="T173" s="67" t="e">
        <f t="shared" si="45"/>
        <v>#DIV/0!</v>
      </c>
      <c r="U173" s="64" t="e">
        <f t="shared" si="46"/>
        <v>#DIV/0!</v>
      </c>
      <c r="V173" s="68" t="e">
        <f t="shared" si="47"/>
        <v>#DIV/0!</v>
      </c>
    </row>
    <row r="174" spans="1:22" x14ac:dyDescent="0.3">
      <c r="A174" s="61" t="s">
        <v>384</v>
      </c>
      <c r="B174" s="62" t="s">
        <v>234</v>
      </c>
      <c r="C174" s="62" t="s">
        <v>341</v>
      </c>
      <c r="D174" s="62" t="s">
        <v>468</v>
      </c>
      <c r="E174" s="63" t="s">
        <v>431</v>
      </c>
      <c r="F174" s="62" t="s">
        <v>260</v>
      </c>
      <c r="G174" s="62" t="s">
        <v>165</v>
      </c>
      <c r="H174" s="62" t="s">
        <v>13</v>
      </c>
      <c r="I174" s="62" t="s">
        <v>163</v>
      </c>
      <c r="J174" s="62" t="s">
        <v>261</v>
      </c>
      <c r="K174" s="62" t="s">
        <v>234</v>
      </c>
      <c r="L174" s="64">
        <v>13</v>
      </c>
      <c r="M174" s="64">
        <f t="shared" si="39"/>
        <v>5.3529411764705879</v>
      </c>
      <c r="N174" s="65">
        <f t="shared" si="51"/>
        <v>0</v>
      </c>
      <c r="O174" s="66">
        <f t="shared" si="52"/>
        <v>0</v>
      </c>
      <c r="P174" s="62" t="s">
        <v>38</v>
      </c>
      <c r="Q174" s="67">
        <f t="shared" si="53"/>
        <v>0</v>
      </c>
      <c r="R174" s="64" t="e">
        <f t="shared" si="43"/>
        <v>#DIV/0!</v>
      </c>
      <c r="S174" s="64" t="e">
        <f t="shared" si="44"/>
        <v>#DIV/0!</v>
      </c>
      <c r="T174" s="67" t="e">
        <f t="shared" si="45"/>
        <v>#DIV/0!</v>
      </c>
      <c r="U174" s="64" t="e">
        <f t="shared" si="46"/>
        <v>#DIV/0!</v>
      </c>
      <c r="V174" s="68" t="e">
        <f t="shared" si="47"/>
        <v>#DIV/0!</v>
      </c>
    </row>
    <row r="175" spans="1:22" x14ac:dyDescent="0.3">
      <c r="A175" s="61" t="s">
        <v>384</v>
      </c>
      <c r="B175" s="62" t="s">
        <v>234</v>
      </c>
      <c r="C175" s="62" t="s">
        <v>341</v>
      </c>
      <c r="D175" s="62" t="s">
        <v>469</v>
      </c>
      <c r="E175" s="63" t="s">
        <v>431</v>
      </c>
      <c r="F175" s="62" t="s">
        <v>260</v>
      </c>
      <c r="G175" s="62" t="s">
        <v>165</v>
      </c>
      <c r="H175" s="62" t="s">
        <v>13</v>
      </c>
      <c r="I175" s="62" t="s">
        <v>163</v>
      </c>
      <c r="J175" s="62" t="s">
        <v>261</v>
      </c>
      <c r="K175" s="62" t="s">
        <v>234</v>
      </c>
      <c r="L175" s="64">
        <v>54</v>
      </c>
      <c r="M175" s="64">
        <f t="shared" si="39"/>
        <v>22.235294117647058</v>
      </c>
      <c r="N175" s="65">
        <f t="shared" si="51"/>
        <v>0</v>
      </c>
      <c r="O175" s="66">
        <f t="shared" si="52"/>
        <v>0</v>
      </c>
      <c r="P175" s="62" t="s">
        <v>38</v>
      </c>
      <c r="Q175" s="67">
        <f t="shared" si="53"/>
        <v>0</v>
      </c>
      <c r="R175" s="64" t="e">
        <f t="shared" si="43"/>
        <v>#DIV/0!</v>
      </c>
      <c r="S175" s="64" t="e">
        <f t="shared" si="44"/>
        <v>#DIV/0!</v>
      </c>
      <c r="T175" s="67" t="e">
        <f t="shared" si="45"/>
        <v>#DIV/0!</v>
      </c>
      <c r="U175" s="64" t="e">
        <f t="shared" si="46"/>
        <v>#DIV/0!</v>
      </c>
      <c r="V175" s="68" t="e">
        <f t="shared" si="47"/>
        <v>#DIV/0!</v>
      </c>
    </row>
    <row r="176" spans="1:22" x14ac:dyDescent="0.3">
      <c r="A176" s="61" t="s">
        <v>384</v>
      </c>
      <c r="B176" s="62" t="s">
        <v>234</v>
      </c>
      <c r="C176" s="62" t="s">
        <v>341</v>
      </c>
      <c r="D176" s="62" t="s">
        <v>470</v>
      </c>
      <c r="E176" s="63" t="s">
        <v>431</v>
      </c>
      <c r="F176" s="62" t="s">
        <v>260</v>
      </c>
      <c r="G176" s="62" t="s">
        <v>165</v>
      </c>
      <c r="H176" s="62" t="s">
        <v>13</v>
      </c>
      <c r="I176" s="62" t="s">
        <v>163</v>
      </c>
      <c r="J176" s="62" t="s">
        <v>261</v>
      </c>
      <c r="K176" s="62" t="s">
        <v>234</v>
      </c>
      <c r="L176" s="64">
        <v>26</v>
      </c>
      <c r="M176" s="64">
        <f t="shared" si="39"/>
        <v>10.705882352941176</v>
      </c>
      <c r="N176" s="65">
        <f t="shared" si="51"/>
        <v>0</v>
      </c>
      <c r="O176" s="66">
        <f t="shared" si="52"/>
        <v>0</v>
      </c>
      <c r="P176" s="62" t="s">
        <v>38</v>
      </c>
      <c r="Q176" s="67">
        <f t="shared" si="53"/>
        <v>0</v>
      </c>
      <c r="R176" s="64" t="e">
        <f t="shared" si="43"/>
        <v>#DIV/0!</v>
      </c>
      <c r="S176" s="64" t="e">
        <f t="shared" si="44"/>
        <v>#DIV/0!</v>
      </c>
      <c r="T176" s="67" t="e">
        <f t="shared" si="45"/>
        <v>#DIV/0!</v>
      </c>
      <c r="U176" s="64" t="e">
        <f t="shared" si="46"/>
        <v>#DIV/0!</v>
      </c>
      <c r="V176" s="68" t="e">
        <f t="shared" si="47"/>
        <v>#DIV/0!</v>
      </c>
    </row>
    <row r="177" spans="1:22" x14ac:dyDescent="0.3">
      <c r="A177" s="61" t="s">
        <v>384</v>
      </c>
      <c r="B177" s="62" t="s">
        <v>234</v>
      </c>
      <c r="C177" s="62" t="s">
        <v>341</v>
      </c>
      <c r="D177" s="62" t="s">
        <v>471</v>
      </c>
      <c r="E177" s="63" t="s">
        <v>431</v>
      </c>
      <c r="F177" s="62" t="s">
        <v>260</v>
      </c>
      <c r="G177" s="62" t="s">
        <v>165</v>
      </c>
      <c r="H177" s="62" t="s">
        <v>13</v>
      </c>
      <c r="I177" s="62" t="s">
        <v>163</v>
      </c>
      <c r="J177" s="62" t="s">
        <v>261</v>
      </c>
      <c r="K177" s="62" t="s">
        <v>234</v>
      </c>
      <c r="L177" s="64">
        <v>38</v>
      </c>
      <c r="M177" s="64">
        <f t="shared" si="39"/>
        <v>15.647058823529411</v>
      </c>
      <c r="N177" s="65">
        <f t="shared" si="51"/>
        <v>0</v>
      </c>
      <c r="O177" s="66">
        <f t="shared" si="52"/>
        <v>0</v>
      </c>
      <c r="P177" s="62" t="s">
        <v>38</v>
      </c>
      <c r="Q177" s="67">
        <f t="shared" si="53"/>
        <v>0</v>
      </c>
      <c r="R177" s="64" t="e">
        <f t="shared" si="43"/>
        <v>#DIV/0!</v>
      </c>
      <c r="S177" s="64" t="e">
        <f t="shared" si="44"/>
        <v>#DIV/0!</v>
      </c>
      <c r="T177" s="67" t="e">
        <f t="shared" si="45"/>
        <v>#DIV/0!</v>
      </c>
      <c r="U177" s="64" t="e">
        <f t="shared" si="46"/>
        <v>#DIV/0!</v>
      </c>
      <c r="V177" s="68" t="e">
        <f t="shared" si="47"/>
        <v>#DIV/0!</v>
      </c>
    </row>
    <row r="178" spans="1:22" x14ac:dyDescent="0.3">
      <c r="A178" s="61" t="s">
        <v>384</v>
      </c>
      <c r="B178" s="62" t="s">
        <v>234</v>
      </c>
      <c r="C178" s="62" t="s">
        <v>341</v>
      </c>
      <c r="D178" s="62" t="s">
        <v>472</v>
      </c>
      <c r="E178" s="63" t="s">
        <v>431</v>
      </c>
      <c r="F178" s="62" t="s">
        <v>260</v>
      </c>
      <c r="G178" s="62" t="s">
        <v>165</v>
      </c>
      <c r="H178" s="62" t="s">
        <v>13</v>
      </c>
      <c r="I178" s="62" t="s">
        <v>163</v>
      </c>
      <c r="J178" s="62" t="s">
        <v>261</v>
      </c>
      <c r="K178" s="62" t="s">
        <v>234</v>
      </c>
      <c r="L178" s="64">
        <v>38</v>
      </c>
      <c r="M178" s="64">
        <f t="shared" si="39"/>
        <v>15.647058823529411</v>
      </c>
      <c r="N178" s="65">
        <f t="shared" si="51"/>
        <v>0</v>
      </c>
      <c r="O178" s="66">
        <f t="shared" si="52"/>
        <v>0</v>
      </c>
      <c r="P178" s="62" t="s">
        <v>38</v>
      </c>
      <c r="Q178" s="67">
        <f t="shared" si="53"/>
        <v>0</v>
      </c>
      <c r="R178" s="64" t="e">
        <f t="shared" si="43"/>
        <v>#DIV/0!</v>
      </c>
      <c r="S178" s="64" t="e">
        <f t="shared" si="44"/>
        <v>#DIV/0!</v>
      </c>
      <c r="T178" s="67" t="e">
        <f t="shared" si="45"/>
        <v>#DIV/0!</v>
      </c>
      <c r="U178" s="64" t="e">
        <f t="shared" si="46"/>
        <v>#DIV/0!</v>
      </c>
      <c r="V178" s="68" t="e">
        <f t="shared" si="47"/>
        <v>#DIV/0!</v>
      </c>
    </row>
    <row r="179" spans="1:22" x14ac:dyDescent="0.3">
      <c r="A179" s="61" t="s">
        <v>384</v>
      </c>
      <c r="B179" s="62" t="s">
        <v>234</v>
      </c>
      <c r="C179" s="62" t="s">
        <v>341</v>
      </c>
      <c r="D179" s="62" t="s">
        <v>473</v>
      </c>
      <c r="E179" s="63" t="s">
        <v>474</v>
      </c>
      <c r="F179" s="62" t="s">
        <v>398</v>
      </c>
      <c r="G179" s="62" t="s">
        <v>193</v>
      </c>
      <c r="H179" s="62" t="s">
        <v>10</v>
      </c>
      <c r="I179" s="62" t="s">
        <v>163</v>
      </c>
      <c r="J179" s="62" t="s">
        <v>273</v>
      </c>
      <c r="K179" s="62" t="s">
        <v>234</v>
      </c>
      <c r="L179" s="64">
        <v>40</v>
      </c>
      <c r="M179" s="64">
        <f t="shared" ref="M179:M210" si="54">L179*VLOOKUP(H179,dagsoorttabel1,2,FALSE)</f>
        <v>32.941176470588232</v>
      </c>
      <c r="N179" s="65">
        <f t="shared" ref="N179:N188" si="55">prodnorm19</f>
        <v>0</v>
      </c>
      <c r="O179" s="66">
        <f t="shared" ref="O179:O188" si="56">dagwerk19</f>
        <v>0</v>
      </c>
      <c r="P179" s="62" t="s">
        <v>38</v>
      </c>
      <c r="Q179" s="67">
        <f t="shared" ref="Q179:Q188" si="57">uurtarief19</f>
        <v>0</v>
      </c>
      <c r="R179" s="64" t="e">
        <f t="shared" ref="R179:R210" si="58">IF(ISBLANK(N179),0,M179/ROUND(N179,4))</f>
        <v>#DIV/0!</v>
      </c>
      <c r="S179" s="64" t="e">
        <f t="shared" ref="S179:S210" si="59">IF(ISBLANK(N179),0,R179*ROUND(O179,2))</f>
        <v>#DIV/0!</v>
      </c>
      <c r="T179" s="67" t="e">
        <f t="shared" ref="T179:T210" si="60">ROUND(Q179,2)*R179</f>
        <v>#DIV/0!</v>
      </c>
      <c r="U179" s="64" t="e">
        <f t="shared" ref="U179:U210" si="61">R179*dagenperjaar1</f>
        <v>#DIV/0!</v>
      </c>
      <c r="V179" s="68" t="e">
        <f t="shared" ref="V179:V210" si="62">U179*ROUND(Q179,2)</f>
        <v>#DIV/0!</v>
      </c>
    </row>
    <row r="180" spans="1:22" x14ac:dyDescent="0.3">
      <c r="A180" s="61" t="s">
        <v>384</v>
      </c>
      <c r="B180" s="62" t="s">
        <v>234</v>
      </c>
      <c r="C180" s="62" t="s">
        <v>341</v>
      </c>
      <c r="D180" s="62" t="s">
        <v>475</v>
      </c>
      <c r="E180" s="63" t="s">
        <v>476</v>
      </c>
      <c r="F180" s="62" t="s">
        <v>398</v>
      </c>
      <c r="G180" s="62" t="s">
        <v>193</v>
      </c>
      <c r="H180" s="62" t="s">
        <v>10</v>
      </c>
      <c r="I180" s="62" t="s">
        <v>163</v>
      </c>
      <c r="J180" s="62" t="s">
        <v>273</v>
      </c>
      <c r="K180" s="62" t="s">
        <v>234</v>
      </c>
      <c r="L180" s="64">
        <v>89</v>
      </c>
      <c r="M180" s="64">
        <f t="shared" si="54"/>
        <v>73.294117647058826</v>
      </c>
      <c r="N180" s="65">
        <f t="shared" si="55"/>
        <v>0</v>
      </c>
      <c r="O180" s="66">
        <f t="shared" si="56"/>
        <v>0</v>
      </c>
      <c r="P180" s="62" t="s">
        <v>38</v>
      </c>
      <c r="Q180" s="67">
        <f t="shared" si="57"/>
        <v>0</v>
      </c>
      <c r="R180" s="64" t="e">
        <f t="shared" si="58"/>
        <v>#DIV/0!</v>
      </c>
      <c r="S180" s="64" t="e">
        <f t="shared" si="59"/>
        <v>#DIV/0!</v>
      </c>
      <c r="T180" s="67" t="e">
        <f t="shared" si="60"/>
        <v>#DIV/0!</v>
      </c>
      <c r="U180" s="64" t="e">
        <f t="shared" si="61"/>
        <v>#DIV/0!</v>
      </c>
      <c r="V180" s="68" t="e">
        <f t="shared" si="62"/>
        <v>#DIV/0!</v>
      </c>
    </row>
    <row r="181" spans="1:22" x14ac:dyDescent="0.3">
      <c r="A181" s="61" t="s">
        <v>384</v>
      </c>
      <c r="B181" s="62" t="s">
        <v>234</v>
      </c>
      <c r="C181" s="62" t="s">
        <v>341</v>
      </c>
      <c r="D181" s="62" t="s">
        <v>477</v>
      </c>
      <c r="E181" s="63" t="s">
        <v>478</v>
      </c>
      <c r="F181" s="62" t="s">
        <v>398</v>
      </c>
      <c r="G181" s="62" t="s">
        <v>193</v>
      </c>
      <c r="H181" s="62" t="s">
        <v>10</v>
      </c>
      <c r="I181" s="62" t="s">
        <v>163</v>
      </c>
      <c r="J181" s="62" t="s">
        <v>273</v>
      </c>
      <c r="K181" s="62" t="s">
        <v>234</v>
      </c>
      <c r="L181" s="64">
        <v>64</v>
      </c>
      <c r="M181" s="64">
        <f t="shared" si="54"/>
        <v>52.705882352941174</v>
      </c>
      <c r="N181" s="65">
        <f t="shared" si="55"/>
        <v>0</v>
      </c>
      <c r="O181" s="66">
        <f t="shared" si="56"/>
        <v>0</v>
      </c>
      <c r="P181" s="62" t="s">
        <v>38</v>
      </c>
      <c r="Q181" s="67">
        <f t="shared" si="57"/>
        <v>0</v>
      </c>
      <c r="R181" s="64" t="e">
        <f t="shared" si="58"/>
        <v>#DIV/0!</v>
      </c>
      <c r="S181" s="64" t="e">
        <f t="shared" si="59"/>
        <v>#DIV/0!</v>
      </c>
      <c r="T181" s="67" t="e">
        <f t="shared" si="60"/>
        <v>#DIV/0!</v>
      </c>
      <c r="U181" s="64" t="e">
        <f t="shared" si="61"/>
        <v>#DIV/0!</v>
      </c>
      <c r="V181" s="68" t="e">
        <f t="shared" si="62"/>
        <v>#DIV/0!</v>
      </c>
    </row>
    <row r="182" spans="1:22" x14ac:dyDescent="0.3">
      <c r="A182" s="61" t="s">
        <v>384</v>
      </c>
      <c r="B182" s="62" t="s">
        <v>234</v>
      </c>
      <c r="C182" s="62" t="s">
        <v>341</v>
      </c>
      <c r="D182" s="62" t="s">
        <v>479</v>
      </c>
      <c r="E182" s="63" t="s">
        <v>480</v>
      </c>
      <c r="F182" s="62" t="s">
        <v>398</v>
      </c>
      <c r="G182" s="62" t="s">
        <v>193</v>
      </c>
      <c r="H182" s="62" t="s">
        <v>10</v>
      </c>
      <c r="I182" s="62" t="s">
        <v>163</v>
      </c>
      <c r="J182" s="62" t="s">
        <v>273</v>
      </c>
      <c r="K182" s="62" t="s">
        <v>234</v>
      </c>
      <c r="L182" s="64">
        <v>26</v>
      </c>
      <c r="M182" s="64">
        <f t="shared" si="54"/>
        <v>21.411764705882351</v>
      </c>
      <c r="N182" s="65">
        <f t="shared" si="55"/>
        <v>0</v>
      </c>
      <c r="O182" s="66">
        <f t="shared" si="56"/>
        <v>0</v>
      </c>
      <c r="P182" s="62" t="s">
        <v>38</v>
      </c>
      <c r="Q182" s="67">
        <f t="shared" si="57"/>
        <v>0</v>
      </c>
      <c r="R182" s="64" t="e">
        <f t="shared" si="58"/>
        <v>#DIV/0!</v>
      </c>
      <c r="S182" s="64" t="e">
        <f t="shared" si="59"/>
        <v>#DIV/0!</v>
      </c>
      <c r="T182" s="67" t="e">
        <f t="shared" si="60"/>
        <v>#DIV/0!</v>
      </c>
      <c r="U182" s="64" t="e">
        <f t="shared" si="61"/>
        <v>#DIV/0!</v>
      </c>
      <c r="V182" s="68" t="e">
        <f t="shared" si="62"/>
        <v>#DIV/0!</v>
      </c>
    </row>
    <row r="183" spans="1:22" x14ac:dyDescent="0.3">
      <c r="A183" s="61" t="s">
        <v>384</v>
      </c>
      <c r="B183" s="62" t="s">
        <v>234</v>
      </c>
      <c r="C183" s="62" t="s">
        <v>341</v>
      </c>
      <c r="D183" s="62" t="s">
        <v>481</v>
      </c>
      <c r="E183" s="63" t="s">
        <v>478</v>
      </c>
      <c r="F183" s="62" t="s">
        <v>398</v>
      </c>
      <c r="G183" s="62" t="s">
        <v>193</v>
      </c>
      <c r="H183" s="62" t="s">
        <v>10</v>
      </c>
      <c r="I183" s="62" t="s">
        <v>163</v>
      </c>
      <c r="J183" s="62" t="s">
        <v>273</v>
      </c>
      <c r="K183" s="62" t="s">
        <v>234</v>
      </c>
      <c r="L183" s="64">
        <v>77</v>
      </c>
      <c r="M183" s="64">
        <f t="shared" si="54"/>
        <v>63.411764705882348</v>
      </c>
      <c r="N183" s="65">
        <f t="shared" si="55"/>
        <v>0</v>
      </c>
      <c r="O183" s="66">
        <f t="shared" si="56"/>
        <v>0</v>
      </c>
      <c r="P183" s="62" t="s">
        <v>38</v>
      </c>
      <c r="Q183" s="67">
        <f t="shared" si="57"/>
        <v>0</v>
      </c>
      <c r="R183" s="64" t="e">
        <f t="shared" si="58"/>
        <v>#DIV/0!</v>
      </c>
      <c r="S183" s="64" t="e">
        <f t="shared" si="59"/>
        <v>#DIV/0!</v>
      </c>
      <c r="T183" s="67" t="e">
        <f t="shared" si="60"/>
        <v>#DIV/0!</v>
      </c>
      <c r="U183" s="64" t="e">
        <f t="shared" si="61"/>
        <v>#DIV/0!</v>
      </c>
      <c r="V183" s="68" t="e">
        <f t="shared" si="62"/>
        <v>#DIV/0!</v>
      </c>
    </row>
    <row r="184" spans="1:22" x14ac:dyDescent="0.3">
      <c r="A184" s="61" t="s">
        <v>384</v>
      </c>
      <c r="B184" s="62" t="s">
        <v>234</v>
      </c>
      <c r="C184" s="62" t="s">
        <v>341</v>
      </c>
      <c r="D184" s="62" t="s">
        <v>482</v>
      </c>
      <c r="E184" s="63" t="s">
        <v>483</v>
      </c>
      <c r="F184" s="62" t="s">
        <v>398</v>
      </c>
      <c r="G184" s="62" t="s">
        <v>193</v>
      </c>
      <c r="H184" s="62" t="s">
        <v>10</v>
      </c>
      <c r="I184" s="62" t="s">
        <v>163</v>
      </c>
      <c r="J184" s="62" t="s">
        <v>273</v>
      </c>
      <c r="K184" s="62" t="s">
        <v>234</v>
      </c>
      <c r="L184" s="64">
        <v>38</v>
      </c>
      <c r="M184" s="64">
        <f t="shared" si="54"/>
        <v>31.294117647058822</v>
      </c>
      <c r="N184" s="65">
        <f t="shared" si="55"/>
        <v>0</v>
      </c>
      <c r="O184" s="66">
        <f t="shared" si="56"/>
        <v>0</v>
      </c>
      <c r="P184" s="62" t="s">
        <v>38</v>
      </c>
      <c r="Q184" s="67">
        <f t="shared" si="57"/>
        <v>0</v>
      </c>
      <c r="R184" s="64" t="e">
        <f t="shared" si="58"/>
        <v>#DIV/0!</v>
      </c>
      <c r="S184" s="64" t="e">
        <f t="shared" si="59"/>
        <v>#DIV/0!</v>
      </c>
      <c r="T184" s="67" t="e">
        <f t="shared" si="60"/>
        <v>#DIV/0!</v>
      </c>
      <c r="U184" s="64" t="e">
        <f t="shared" si="61"/>
        <v>#DIV/0!</v>
      </c>
      <c r="V184" s="68" t="e">
        <f t="shared" si="62"/>
        <v>#DIV/0!</v>
      </c>
    </row>
    <row r="185" spans="1:22" x14ac:dyDescent="0.3">
      <c r="A185" s="61" t="s">
        <v>384</v>
      </c>
      <c r="B185" s="62" t="s">
        <v>234</v>
      </c>
      <c r="C185" s="62" t="s">
        <v>341</v>
      </c>
      <c r="D185" s="62" t="s">
        <v>484</v>
      </c>
      <c r="E185" s="63" t="s">
        <v>485</v>
      </c>
      <c r="F185" s="62" t="s">
        <v>398</v>
      </c>
      <c r="G185" s="62" t="s">
        <v>193</v>
      </c>
      <c r="H185" s="62" t="s">
        <v>10</v>
      </c>
      <c r="I185" s="62" t="s">
        <v>163</v>
      </c>
      <c r="J185" s="62" t="s">
        <v>273</v>
      </c>
      <c r="K185" s="62" t="s">
        <v>234</v>
      </c>
      <c r="L185" s="64">
        <v>20</v>
      </c>
      <c r="M185" s="64">
        <f t="shared" si="54"/>
        <v>16.470588235294116</v>
      </c>
      <c r="N185" s="65">
        <f t="shared" si="55"/>
        <v>0</v>
      </c>
      <c r="O185" s="66">
        <f t="shared" si="56"/>
        <v>0</v>
      </c>
      <c r="P185" s="62" t="s">
        <v>38</v>
      </c>
      <c r="Q185" s="67">
        <f t="shared" si="57"/>
        <v>0</v>
      </c>
      <c r="R185" s="64" t="e">
        <f t="shared" si="58"/>
        <v>#DIV/0!</v>
      </c>
      <c r="S185" s="64" t="e">
        <f t="shared" si="59"/>
        <v>#DIV/0!</v>
      </c>
      <c r="T185" s="67" t="e">
        <f t="shared" si="60"/>
        <v>#DIV/0!</v>
      </c>
      <c r="U185" s="64" t="e">
        <f t="shared" si="61"/>
        <v>#DIV/0!</v>
      </c>
      <c r="V185" s="68" t="e">
        <f t="shared" si="62"/>
        <v>#DIV/0!</v>
      </c>
    </row>
    <row r="186" spans="1:22" x14ac:dyDescent="0.3">
      <c r="A186" s="61" t="s">
        <v>384</v>
      </c>
      <c r="B186" s="62" t="s">
        <v>234</v>
      </c>
      <c r="C186" s="62" t="s">
        <v>341</v>
      </c>
      <c r="D186" s="62" t="s">
        <v>486</v>
      </c>
      <c r="E186" s="63" t="s">
        <v>485</v>
      </c>
      <c r="F186" s="62" t="s">
        <v>398</v>
      </c>
      <c r="G186" s="62" t="s">
        <v>193</v>
      </c>
      <c r="H186" s="62" t="s">
        <v>10</v>
      </c>
      <c r="I186" s="62" t="s">
        <v>163</v>
      </c>
      <c r="J186" s="62" t="s">
        <v>273</v>
      </c>
      <c r="K186" s="62" t="s">
        <v>234</v>
      </c>
      <c r="L186" s="64">
        <v>38</v>
      </c>
      <c r="M186" s="64">
        <f t="shared" si="54"/>
        <v>31.294117647058822</v>
      </c>
      <c r="N186" s="65">
        <f t="shared" si="55"/>
        <v>0</v>
      </c>
      <c r="O186" s="66">
        <f t="shared" si="56"/>
        <v>0</v>
      </c>
      <c r="P186" s="62" t="s">
        <v>38</v>
      </c>
      <c r="Q186" s="67">
        <f t="shared" si="57"/>
        <v>0</v>
      </c>
      <c r="R186" s="64" t="e">
        <f t="shared" si="58"/>
        <v>#DIV/0!</v>
      </c>
      <c r="S186" s="64" t="e">
        <f t="shared" si="59"/>
        <v>#DIV/0!</v>
      </c>
      <c r="T186" s="67" t="e">
        <f t="shared" si="60"/>
        <v>#DIV/0!</v>
      </c>
      <c r="U186" s="64" t="e">
        <f t="shared" si="61"/>
        <v>#DIV/0!</v>
      </c>
      <c r="V186" s="68" t="e">
        <f t="shared" si="62"/>
        <v>#DIV/0!</v>
      </c>
    </row>
    <row r="187" spans="1:22" x14ac:dyDescent="0.3">
      <c r="A187" s="61" t="s">
        <v>384</v>
      </c>
      <c r="B187" s="62" t="s">
        <v>234</v>
      </c>
      <c r="C187" s="62" t="s">
        <v>341</v>
      </c>
      <c r="D187" s="62" t="s">
        <v>487</v>
      </c>
      <c r="E187" s="63" t="s">
        <v>488</v>
      </c>
      <c r="F187" s="62" t="s">
        <v>398</v>
      </c>
      <c r="G187" s="62" t="s">
        <v>193</v>
      </c>
      <c r="H187" s="62" t="s">
        <v>10</v>
      </c>
      <c r="I187" s="62" t="s">
        <v>163</v>
      </c>
      <c r="J187" s="62" t="s">
        <v>239</v>
      </c>
      <c r="K187" s="62" t="s">
        <v>234</v>
      </c>
      <c r="L187" s="64">
        <v>25</v>
      </c>
      <c r="M187" s="64">
        <f t="shared" si="54"/>
        <v>20.588235294117645</v>
      </c>
      <c r="N187" s="65">
        <f t="shared" si="55"/>
        <v>0</v>
      </c>
      <c r="O187" s="66">
        <f t="shared" si="56"/>
        <v>0</v>
      </c>
      <c r="P187" s="62" t="s">
        <v>38</v>
      </c>
      <c r="Q187" s="67">
        <f t="shared" si="57"/>
        <v>0</v>
      </c>
      <c r="R187" s="64" t="e">
        <f t="shared" si="58"/>
        <v>#DIV/0!</v>
      </c>
      <c r="S187" s="64" t="e">
        <f t="shared" si="59"/>
        <v>#DIV/0!</v>
      </c>
      <c r="T187" s="67" t="e">
        <f t="shared" si="60"/>
        <v>#DIV/0!</v>
      </c>
      <c r="U187" s="64" t="e">
        <f t="shared" si="61"/>
        <v>#DIV/0!</v>
      </c>
      <c r="V187" s="68" t="e">
        <f t="shared" si="62"/>
        <v>#DIV/0!</v>
      </c>
    </row>
    <row r="188" spans="1:22" x14ac:dyDescent="0.3">
      <c r="A188" s="61" t="s">
        <v>384</v>
      </c>
      <c r="B188" s="62" t="s">
        <v>234</v>
      </c>
      <c r="C188" s="62" t="s">
        <v>341</v>
      </c>
      <c r="D188" s="62" t="s">
        <v>489</v>
      </c>
      <c r="E188" s="63" t="s">
        <v>488</v>
      </c>
      <c r="F188" s="62" t="s">
        <v>398</v>
      </c>
      <c r="G188" s="62" t="s">
        <v>193</v>
      </c>
      <c r="H188" s="62" t="s">
        <v>10</v>
      </c>
      <c r="I188" s="62" t="s">
        <v>163</v>
      </c>
      <c r="J188" s="62" t="s">
        <v>239</v>
      </c>
      <c r="K188" s="62" t="s">
        <v>234</v>
      </c>
      <c r="L188" s="64">
        <v>100</v>
      </c>
      <c r="M188" s="64">
        <f t="shared" si="54"/>
        <v>82.35294117647058</v>
      </c>
      <c r="N188" s="65">
        <f t="shared" si="55"/>
        <v>0</v>
      </c>
      <c r="O188" s="66">
        <f t="shared" si="56"/>
        <v>0</v>
      </c>
      <c r="P188" s="62" t="s">
        <v>38</v>
      </c>
      <c r="Q188" s="67">
        <f t="shared" si="57"/>
        <v>0</v>
      </c>
      <c r="R188" s="64" t="e">
        <f t="shared" si="58"/>
        <v>#DIV/0!</v>
      </c>
      <c r="S188" s="64" t="e">
        <f t="shared" si="59"/>
        <v>#DIV/0!</v>
      </c>
      <c r="T188" s="67" t="e">
        <f t="shared" si="60"/>
        <v>#DIV/0!</v>
      </c>
      <c r="U188" s="64" t="e">
        <f t="shared" si="61"/>
        <v>#DIV/0!</v>
      </c>
      <c r="V188" s="68" t="e">
        <f t="shared" si="62"/>
        <v>#DIV/0!</v>
      </c>
    </row>
    <row r="189" spans="1:22" x14ac:dyDescent="0.3">
      <c r="A189" s="61" t="s">
        <v>384</v>
      </c>
      <c r="B189" s="62" t="s">
        <v>234</v>
      </c>
      <c r="C189" s="62" t="s">
        <v>341</v>
      </c>
      <c r="D189" s="62" t="s">
        <v>490</v>
      </c>
      <c r="E189" s="63" t="s">
        <v>448</v>
      </c>
      <c r="F189" s="62" t="s">
        <v>398</v>
      </c>
      <c r="G189" s="62" t="s">
        <v>207</v>
      </c>
      <c r="H189" s="62" t="s">
        <v>10</v>
      </c>
      <c r="I189" s="62" t="s">
        <v>163</v>
      </c>
      <c r="J189" s="62" t="s">
        <v>239</v>
      </c>
      <c r="K189" s="62" t="s">
        <v>234</v>
      </c>
      <c r="L189" s="64">
        <v>0</v>
      </c>
      <c r="M189" s="64">
        <f t="shared" si="54"/>
        <v>0</v>
      </c>
      <c r="N189" s="65"/>
      <c r="O189" s="66"/>
      <c r="P189" s="62" t="s">
        <v>38</v>
      </c>
      <c r="Q189" s="67"/>
      <c r="R189" s="64">
        <f t="shared" si="58"/>
        <v>0</v>
      </c>
      <c r="S189" s="64">
        <f t="shared" si="59"/>
        <v>0</v>
      </c>
      <c r="T189" s="67">
        <f t="shared" si="60"/>
        <v>0</v>
      </c>
      <c r="U189" s="64">
        <f t="shared" si="61"/>
        <v>0</v>
      </c>
      <c r="V189" s="68">
        <f t="shared" si="62"/>
        <v>0</v>
      </c>
    </row>
    <row r="190" spans="1:22" x14ac:dyDescent="0.3">
      <c r="A190" s="61" t="s">
        <v>384</v>
      </c>
      <c r="B190" s="62" t="s">
        <v>234</v>
      </c>
      <c r="C190" s="62" t="s">
        <v>341</v>
      </c>
      <c r="D190" s="62" t="s">
        <v>491</v>
      </c>
      <c r="E190" s="63" t="s">
        <v>448</v>
      </c>
      <c r="F190" s="62" t="s">
        <v>398</v>
      </c>
      <c r="G190" s="62" t="s">
        <v>207</v>
      </c>
      <c r="H190" s="62" t="s">
        <v>10</v>
      </c>
      <c r="I190" s="62" t="s">
        <v>163</v>
      </c>
      <c r="J190" s="62" t="s">
        <v>239</v>
      </c>
      <c r="K190" s="62" t="s">
        <v>234</v>
      </c>
      <c r="L190" s="64">
        <v>0</v>
      </c>
      <c r="M190" s="64">
        <f t="shared" si="54"/>
        <v>0</v>
      </c>
      <c r="N190" s="65"/>
      <c r="O190" s="66"/>
      <c r="P190" s="62" t="s">
        <v>38</v>
      </c>
      <c r="Q190" s="67"/>
      <c r="R190" s="64">
        <f t="shared" si="58"/>
        <v>0</v>
      </c>
      <c r="S190" s="64">
        <f t="shared" si="59"/>
        <v>0</v>
      </c>
      <c r="T190" s="67">
        <f t="shared" si="60"/>
        <v>0</v>
      </c>
      <c r="U190" s="64">
        <f t="shared" si="61"/>
        <v>0</v>
      </c>
      <c r="V190" s="68">
        <f t="shared" si="62"/>
        <v>0</v>
      </c>
    </row>
    <row r="191" spans="1:22" x14ac:dyDescent="0.3">
      <c r="A191" s="61" t="s">
        <v>384</v>
      </c>
      <c r="B191" s="62" t="s">
        <v>234</v>
      </c>
      <c r="C191" s="62" t="s">
        <v>341</v>
      </c>
      <c r="D191" s="62" t="s">
        <v>492</v>
      </c>
      <c r="E191" s="63" t="s">
        <v>448</v>
      </c>
      <c r="F191" s="62" t="s">
        <v>398</v>
      </c>
      <c r="G191" s="62" t="s">
        <v>207</v>
      </c>
      <c r="H191" s="62" t="s">
        <v>10</v>
      </c>
      <c r="I191" s="62" t="s">
        <v>163</v>
      </c>
      <c r="J191" s="62" t="s">
        <v>239</v>
      </c>
      <c r="K191" s="62" t="s">
        <v>234</v>
      </c>
      <c r="L191" s="64">
        <v>0</v>
      </c>
      <c r="M191" s="64">
        <f t="shared" si="54"/>
        <v>0</v>
      </c>
      <c r="N191" s="65"/>
      <c r="O191" s="66"/>
      <c r="P191" s="62" t="s">
        <v>38</v>
      </c>
      <c r="Q191" s="67"/>
      <c r="R191" s="64">
        <f t="shared" si="58"/>
        <v>0</v>
      </c>
      <c r="S191" s="64">
        <f t="shared" si="59"/>
        <v>0</v>
      </c>
      <c r="T191" s="67">
        <f t="shared" si="60"/>
        <v>0</v>
      </c>
      <c r="U191" s="64">
        <f t="shared" si="61"/>
        <v>0</v>
      </c>
      <c r="V191" s="68">
        <f t="shared" si="62"/>
        <v>0</v>
      </c>
    </row>
    <row r="192" spans="1:22" x14ac:dyDescent="0.3">
      <c r="A192" s="61" t="s">
        <v>384</v>
      </c>
      <c r="B192" s="62" t="s">
        <v>234</v>
      </c>
      <c r="C192" s="62" t="s">
        <v>493</v>
      </c>
      <c r="D192" s="62" t="s">
        <v>494</v>
      </c>
      <c r="E192" s="63" t="s">
        <v>460</v>
      </c>
      <c r="F192" s="62" t="s">
        <v>398</v>
      </c>
      <c r="G192" s="62" t="s">
        <v>179</v>
      </c>
      <c r="H192" s="62" t="s">
        <v>13</v>
      </c>
      <c r="I192" s="62" t="s">
        <v>163</v>
      </c>
      <c r="J192" s="62" t="s">
        <v>273</v>
      </c>
      <c r="K192" s="62" t="s">
        <v>234</v>
      </c>
      <c r="L192" s="64">
        <v>55</v>
      </c>
      <c r="M192" s="64">
        <f t="shared" si="54"/>
        <v>22.647058823529409</v>
      </c>
      <c r="N192" s="65">
        <f t="shared" ref="N192:N209" si="63">prodnorm10</f>
        <v>0</v>
      </c>
      <c r="O192" s="66">
        <f t="shared" ref="O192:O209" si="64">dagwerk10</f>
        <v>0</v>
      </c>
      <c r="P192" s="62" t="s">
        <v>38</v>
      </c>
      <c r="Q192" s="67">
        <f t="shared" ref="Q192:Q209" si="65">uurtarief10</f>
        <v>0</v>
      </c>
      <c r="R192" s="64" t="e">
        <f t="shared" si="58"/>
        <v>#DIV/0!</v>
      </c>
      <c r="S192" s="64" t="e">
        <f t="shared" si="59"/>
        <v>#DIV/0!</v>
      </c>
      <c r="T192" s="67" t="e">
        <f t="shared" si="60"/>
        <v>#DIV/0!</v>
      </c>
      <c r="U192" s="64" t="e">
        <f t="shared" si="61"/>
        <v>#DIV/0!</v>
      </c>
      <c r="V192" s="68" t="e">
        <f t="shared" si="62"/>
        <v>#DIV/0!</v>
      </c>
    </row>
    <row r="193" spans="1:22" x14ac:dyDescent="0.3">
      <c r="A193" s="61" t="s">
        <v>384</v>
      </c>
      <c r="B193" s="62" t="s">
        <v>234</v>
      </c>
      <c r="C193" s="62" t="s">
        <v>493</v>
      </c>
      <c r="D193" s="62" t="s">
        <v>495</v>
      </c>
      <c r="E193" s="63" t="s">
        <v>460</v>
      </c>
      <c r="F193" s="62" t="s">
        <v>398</v>
      </c>
      <c r="G193" s="62" t="s">
        <v>179</v>
      </c>
      <c r="H193" s="62" t="s">
        <v>13</v>
      </c>
      <c r="I193" s="62" t="s">
        <v>163</v>
      </c>
      <c r="J193" s="62" t="s">
        <v>273</v>
      </c>
      <c r="K193" s="62" t="s">
        <v>234</v>
      </c>
      <c r="L193" s="64">
        <v>54</v>
      </c>
      <c r="M193" s="64">
        <f t="shared" si="54"/>
        <v>22.235294117647058</v>
      </c>
      <c r="N193" s="65">
        <f t="shared" si="63"/>
        <v>0</v>
      </c>
      <c r="O193" s="66">
        <f t="shared" si="64"/>
        <v>0</v>
      </c>
      <c r="P193" s="62" t="s">
        <v>38</v>
      </c>
      <c r="Q193" s="67">
        <f t="shared" si="65"/>
        <v>0</v>
      </c>
      <c r="R193" s="64" t="e">
        <f t="shared" si="58"/>
        <v>#DIV/0!</v>
      </c>
      <c r="S193" s="64" t="e">
        <f t="shared" si="59"/>
        <v>#DIV/0!</v>
      </c>
      <c r="T193" s="67" t="e">
        <f t="shared" si="60"/>
        <v>#DIV/0!</v>
      </c>
      <c r="U193" s="64" t="e">
        <f t="shared" si="61"/>
        <v>#DIV/0!</v>
      </c>
      <c r="V193" s="68" t="e">
        <f t="shared" si="62"/>
        <v>#DIV/0!</v>
      </c>
    </row>
    <row r="194" spans="1:22" x14ac:dyDescent="0.3">
      <c r="A194" s="61" t="s">
        <v>384</v>
      </c>
      <c r="B194" s="62" t="s">
        <v>234</v>
      </c>
      <c r="C194" s="62" t="s">
        <v>493</v>
      </c>
      <c r="D194" s="62" t="s">
        <v>496</v>
      </c>
      <c r="E194" s="63" t="s">
        <v>460</v>
      </c>
      <c r="F194" s="62" t="s">
        <v>398</v>
      </c>
      <c r="G194" s="62" t="s">
        <v>179</v>
      </c>
      <c r="H194" s="62" t="s">
        <v>13</v>
      </c>
      <c r="I194" s="62" t="s">
        <v>163</v>
      </c>
      <c r="J194" s="62" t="s">
        <v>273</v>
      </c>
      <c r="K194" s="62" t="s">
        <v>234</v>
      </c>
      <c r="L194" s="64">
        <v>80</v>
      </c>
      <c r="M194" s="64">
        <f t="shared" si="54"/>
        <v>32.941176470588232</v>
      </c>
      <c r="N194" s="65">
        <f t="shared" si="63"/>
        <v>0</v>
      </c>
      <c r="O194" s="66">
        <f t="shared" si="64"/>
        <v>0</v>
      </c>
      <c r="P194" s="62" t="s">
        <v>38</v>
      </c>
      <c r="Q194" s="67">
        <f t="shared" si="65"/>
        <v>0</v>
      </c>
      <c r="R194" s="64" t="e">
        <f t="shared" si="58"/>
        <v>#DIV/0!</v>
      </c>
      <c r="S194" s="64" t="e">
        <f t="shared" si="59"/>
        <v>#DIV/0!</v>
      </c>
      <c r="T194" s="67" t="e">
        <f t="shared" si="60"/>
        <v>#DIV/0!</v>
      </c>
      <c r="U194" s="64" t="e">
        <f t="shared" si="61"/>
        <v>#DIV/0!</v>
      </c>
      <c r="V194" s="68" t="e">
        <f t="shared" si="62"/>
        <v>#DIV/0!</v>
      </c>
    </row>
    <row r="195" spans="1:22" x14ac:dyDescent="0.3">
      <c r="A195" s="61" t="s">
        <v>384</v>
      </c>
      <c r="B195" s="62" t="s">
        <v>234</v>
      </c>
      <c r="C195" s="62" t="s">
        <v>493</v>
      </c>
      <c r="D195" s="62" t="s">
        <v>497</v>
      </c>
      <c r="E195" s="63" t="s">
        <v>460</v>
      </c>
      <c r="F195" s="62" t="s">
        <v>398</v>
      </c>
      <c r="G195" s="62" t="s">
        <v>179</v>
      </c>
      <c r="H195" s="62" t="s">
        <v>13</v>
      </c>
      <c r="I195" s="62" t="s">
        <v>163</v>
      </c>
      <c r="J195" s="62" t="s">
        <v>273</v>
      </c>
      <c r="K195" s="62" t="s">
        <v>234</v>
      </c>
      <c r="L195" s="64">
        <v>55</v>
      </c>
      <c r="M195" s="64">
        <f t="shared" si="54"/>
        <v>22.647058823529409</v>
      </c>
      <c r="N195" s="65">
        <f t="shared" si="63"/>
        <v>0</v>
      </c>
      <c r="O195" s="66">
        <f t="shared" si="64"/>
        <v>0</v>
      </c>
      <c r="P195" s="62" t="s">
        <v>38</v>
      </c>
      <c r="Q195" s="67">
        <f t="shared" si="65"/>
        <v>0</v>
      </c>
      <c r="R195" s="64" t="e">
        <f t="shared" si="58"/>
        <v>#DIV/0!</v>
      </c>
      <c r="S195" s="64" t="e">
        <f t="shared" si="59"/>
        <v>#DIV/0!</v>
      </c>
      <c r="T195" s="67" t="e">
        <f t="shared" si="60"/>
        <v>#DIV/0!</v>
      </c>
      <c r="U195" s="64" t="e">
        <f t="shared" si="61"/>
        <v>#DIV/0!</v>
      </c>
      <c r="V195" s="68" t="e">
        <f t="shared" si="62"/>
        <v>#DIV/0!</v>
      </c>
    </row>
    <row r="196" spans="1:22" x14ac:dyDescent="0.3">
      <c r="A196" s="61" t="s">
        <v>384</v>
      </c>
      <c r="B196" s="62" t="s">
        <v>234</v>
      </c>
      <c r="C196" s="62" t="s">
        <v>493</v>
      </c>
      <c r="D196" s="62" t="s">
        <v>498</v>
      </c>
      <c r="E196" s="63" t="s">
        <v>460</v>
      </c>
      <c r="F196" s="62" t="s">
        <v>398</v>
      </c>
      <c r="G196" s="62" t="s">
        <v>179</v>
      </c>
      <c r="H196" s="62" t="s">
        <v>13</v>
      </c>
      <c r="I196" s="62" t="s">
        <v>163</v>
      </c>
      <c r="J196" s="62" t="s">
        <v>273</v>
      </c>
      <c r="K196" s="62" t="s">
        <v>234</v>
      </c>
      <c r="L196" s="64">
        <v>54</v>
      </c>
      <c r="M196" s="64">
        <f t="shared" si="54"/>
        <v>22.235294117647058</v>
      </c>
      <c r="N196" s="65">
        <f t="shared" si="63"/>
        <v>0</v>
      </c>
      <c r="O196" s="66">
        <f t="shared" si="64"/>
        <v>0</v>
      </c>
      <c r="P196" s="62" t="s">
        <v>38</v>
      </c>
      <c r="Q196" s="67">
        <f t="shared" si="65"/>
        <v>0</v>
      </c>
      <c r="R196" s="64" t="e">
        <f t="shared" si="58"/>
        <v>#DIV/0!</v>
      </c>
      <c r="S196" s="64" t="e">
        <f t="shared" si="59"/>
        <v>#DIV/0!</v>
      </c>
      <c r="T196" s="67" t="e">
        <f t="shared" si="60"/>
        <v>#DIV/0!</v>
      </c>
      <c r="U196" s="64" t="e">
        <f t="shared" si="61"/>
        <v>#DIV/0!</v>
      </c>
      <c r="V196" s="68" t="e">
        <f t="shared" si="62"/>
        <v>#DIV/0!</v>
      </c>
    </row>
    <row r="197" spans="1:22" x14ac:dyDescent="0.3">
      <c r="A197" s="61" t="s">
        <v>384</v>
      </c>
      <c r="B197" s="62" t="s">
        <v>234</v>
      </c>
      <c r="C197" s="62" t="s">
        <v>493</v>
      </c>
      <c r="D197" s="62" t="s">
        <v>499</v>
      </c>
      <c r="E197" s="63" t="s">
        <v>460</v>
      </c>
      <c r="F197" s="62" t="s">
        <v>398</v>
      </c>
      <c r="G197" s="62" t="s">
        <v>179</v>
      </c>
      <c r="H197" s="62" t="s">
        <v>13</v>
      </c>
      <c r="I197" s="62" t="s">
        <v>163</v>
      </c>
      <c r="J197" s="62" t="s">
        <v>273</v>
      </c>
      <c r="K197" s="62" t="s">
        <v>234</v>
      </c>
      <c r="L197" s="64">
        <v>80</v>
      </c>
      <c r="M197" s="64">
        <f t="shared" si="54"/>
        <v>32.941176470588232</v>
      </c>
      <c r="N197" s="65">
        <f t="shared" si="63"/>
        <v>0</v>
      </c>
      <c r="O197" s="66">
        <f t="shared" si="64"/>
        <v>0</v>
      </c>
      <c r="P197" s="62" t="s">
        <v>38</v>
      </c>
      <c r="Q197" s="67">
        <f t="shared" si="65"/>
        <v>0</v>
      </c>
      <c r="R197" s="64" t="e">
        <f t="shared" si="58"/>
        <v>#DIV/0!</v>
      </c>
      <c r="S197" s="64" t="e">
        <f t="shared" si="59"/>
        <v>#DIV/0!</v>
      </c>
      <c r="T197" s="67" t="e">
        <f t="shared" si="60"/>
        <v>#DIV/0!</v>
      </c>
      <c r="U197" s="64" t="e">
        <f t="shared" si="61"/>
        <v>#DIV/0!</v>
      </c>
      <c r="V197" s="68" t="e">
        <f t="shared" si="62"/>
        <v>#DIV/0!</v>
      </c>
    </row>
    <row r="198" spans="1:22" x14ac:dyDescent="0.3">
      <c r="A198" s="61" t="s">
        <v>384</v>
      </c>
      <c r="B198" s="62" t="s">
        <v>234</v>
      </c>
      <c r="C198" s="62" t="s">
        <v>493</v>
      </c>
      <c r="D198" s="62" t="s">
        <v>500</v>
      </c>
      <c r="E198" s="63" t="s">
        <v>460</v>
      </c>
      <c r="F198" s="62" t="s">
        <v>398</v>
      </c>
      <c r="G198" s="62" t="s">
        <v>179</v>
      </c>
      <c r="H198" s="62" t="s">
        <v>13</v>
      </c>
      <c r="I198" s="62" t="s">
        <v>163</v>
      </c>
      <c r="J198" s="62" t="s">
        <v>273</v>
      </c>
      <c r="K198" s="62" t="s">
        <v>234</v>
      </c>
      <c r="L198" s="64">
        <v>55</v>
      </c>
      <c r="M198" s="64">
        <f t="shared" si="54"/>
        <v>22.647058823529409</v>
      </c>
      <c r="N198" s="65">
        <f t="shared" si="63"/>
        <v>0</v>
      </c>
      <c r="O198" s="66">
        <f t="shared" si="64"/>
        <v>0</v>
      </c>
      <c r="P198" s="62" t="s">
        <v>38</v>
      </c>
      <c r="Q198" s="67">
        <f t="shared" si="65"/>
        <v>0</v>
      </c>
      <c r="R198" s="64" t="e">
        <f t="shared" si="58"/>
        <v>#DIV/0!</v>
      </c>
      <c r="S198" s="64" t="e">
        <f t="shared" si="59"/>
        <v>#DIV/0!</v>
      </c>
      <c r="T198" s="67" t="e">
        <f t="shared" si="60"/>
        <v>#DIV/0!</v>
      </c>
      <c r="U198" s="64" t="e">
        <f t="shared" si="61"/>
        <v>#DIV/0!</v>
      </c>
      <c r="V198" s="68" t="e">
        <f t="shared" si="62"/>
        <v>#DIV/0!</v>
      </c>
    </row>
    <row r="199" spans="1:22" x14ac:dyDescent="0.3">
      <c r="A199" s="61" t="s">
        <v>384</v>
      </c>
      <c r="B199" s="62" t="s">
        <v>234</v>
      </c>
      <c r="C199" s="62" t="s">
        <v>493</v>
      </c>
      <c r="D199" s="62" t="s">
        <v>501</v>
      </c>
      <c r="E199" s="63" t="s">
        <v>460</v>
      </c>
      <c r="F199" s="62" t="s">
        <v>398</v>
      </c>
      <c r="G199" s="62" t="s">
        <v>179</v>
      </c>
      <c r="H199" s="62" t="s">
        <v>13</v>
      </c>
      <c r="I199" s="62" t="s">
        <v>163</v>
      </c>
      <c r="J199" s="62" t="s">
        <v>273</v>
      </c>
      <c r="K199" s="62" t="s">
        <v>234</v>
      </c>
      <c r="L199" s="64">
        <v>54</v>
      </c>
      <c r="M199" s="64">
        <f t="shared" si="54"/>
        <v>22.235294117647058</v>
      </c>
      <c r="N199" s="65">
        <f t="shared" si="63"/>
        <v>0</v>
      </c>
      <c r="O199" s="66">
        <f t="shared" si="64"/>
        <v>0</v>
      </c>
      <c r="P199" s="62" t="s">
        <v>38</v>
      </c>
      <c r="Q199" s="67">
        <f t="shared" si="65"/>
        <v>0</v>
      </c>
      <c r="R199" s="64" t="e">
        <f t="shared" si="58"/>
        <v>#DIV/0!</v>
      </c>
      <c r="S199" s="64" t="e">
        <f t="shared" si="59"/>
        <v>#DIV/0!</v>
      </c>
      <c r="T199" s="67" t="e">
        <f t="shared" si="60"/>
        <v>#DIV/0!</v>
      </c>
      <c r="U199" s="64" t="e">
        <f t="shared" si="61"/>
        <v>#DIV/0!</v>
      </c>
      <c r="V199" s="68" t="e">
        <f t="shared" si="62"/>
        <v>#DIV/0!</v>
      </c>
    </row>
    <row r="200" spans="1:22" x14ac:dyDescent="0.3">
      <c r="A200" s="61" t="s">
        <v>384</v>
      </c>
      <c r="B200" s="62" t="s">
        <v>234</v>
      </c>
      <c r="C200" s="62" t="s">
        <v>493</v>
      </c>
      <c r="D200" s="62" t="s">
        <v>502</v>
      </c>
      <c r="E200" s="63" t="s">
        <v>460</v>
      </c>
      <c r="F200" s="62" t="s">
        <v>398</v>
      </c>
      <c r="G200" s="62" t="s">
        <v>179</v>
      </c>
      <c r="H200" s="62" t="s">
        <v>13</v>
      </c>
      <c r="I200" s="62" t="s">
        <v>163</v>
      </c>
      <c r="J200" s="62" t="s">
        <v>273</v>
      </c>
      <c r="K200" s="62" t="s">
        <v>234</v>
      </c>
      <c r="L200" s="64">
        <v>85</v>
      </c>
      <c r="M200" s="64">
        <f t="shared" si="54"/>
        <v>35</v>
      </c>
      <c r="N200" s="65">
        <f t="shared" si="63"/>
        <v>0</v>
      </c>
      <c r="O200" s="66">
        <f t="shared" si="64"/>
        <v>0</v>
      </c>
      <c r="P200" s="62" t="s">
        <v>38</v>
      </c>
      <c r="Q200" s="67">
        <f t="shared" si="65"/>
        <v>0</v>
      </c>
      <c r="R200" s="64" t="e">
        <f t="shared" si="58"/>
        <v>#DIV/0!</v>
      </c>
      <c r="S200" s="64" t="e">
        <f t="shared" si="59"/>
        <v>#DIV/0!</v>
      </c>
      <c r="T200" s="67" t="e">
        <f t="shared" si="60"/>
        <v>#DIV/0!</v>
      </c>
      <c r="U200" s="64" t="e">
        <f t="shared" si="61"/>
        <v>#DIV/0!</v>
      </c>
      <c r="V200" s="68" t="e">
        <f t="shared" si="62"/>
        <v>#DIV/0!</v>
      </c>
    </row>
    <row r="201" spans="1:22" x14ac:dyDescent="0.3">
      <c r="A201" s="61" t="s">
        <v>384</v>
      </c>
      <c r="B201" s="62" t="s">
        <v>234</v>
      </c>
      <c r="C201" s="62" t="s">
        <v>493</v>
      </c>
      <c r="D201" s="62" t="s">
        <v>503</v>
      </c>
      <c r="E201" s="63" t="s">
        <v>460</v>
      </c>
      <c r="F201" s="62" t="s">
        <v>398</v>
      </c>
      <c r="G201" s="62" t="s">
        <v>179</v>
      </c>
      <c r="H201" s="62" t="s">
        <v>13</v>
      </c>
      <c r="I201" s="62" t="s">
        <v>163</v>
      </c>
      <c r="J201" s="62" t="s">
        <v>273</v>
      </c>
      <c r="K201" s="62" t="s">
        <v>234</v>
      </c>
      <c r="L201" s="64">
        <v>56</v>
      </c>
      <c r="M201" s="64">
        <f t="shared" si="54"/>
        <v>23.058823529411764</v>
      </c>
      <c r="N201" s="65">
        <f t="shared" si="63"/>
        <v>0</v>
      </c>
      <c r="O201" s="66">
        <f t="shared" si="64"/>
        <v>0</v>
      </c>
      <c r="P201" s="62" t="s">
        <v>38</v>
      </c>
      <c r="Q201" s="67">
        <f t="shared" si="65"/>
        <v>0</v>
      </c>
      <c r="R201" s="64" t="e">
        <f t="shared" si="58"/>
        <v>#DIV/0!</v>
      </c>
      <c r="S201" s="64" t="e">
        <f t="shared" si="59"/>
        <v>#DIV/0!</v>
      </c>
      <c r="T201" s="67" t="e">
        <f t="shared" si="60"/>
        <v>#DIV/0!</v>
      </c>
      <c r="U201" s="64" t="e">
        <f t="shared" si="61"/>
        <v>#DIV/0!</v>
      </c>
      <c r="V201" s="68" t="e">
        <f t="shared" si="62"/>
        <v>#DIV/0!</v>
      </c>
    </row>
    <row r="202" spans="1:22" x14ac:dyDescent="0.3">
      <c r="A202" s="61" t="s">
        <v>384</v>
      </c>
      <c r="B202" s="62" t="s">
        <v>234</v>
      </c>
      <c r="C202" s="62" t="s">
        <v>493</v>
      </c>
      <c r="D202" s="62" t="s">
        <v>504</v>
      </c>
      <c r="E202" s="63" t="s">
        <v>460</v>
      </c>
      <c r="F202" s="62" t="s">
        <v>398</v>
      </c>
      <c r="G202" s="62" t="s">
        <v>179</v>
      </c>
      <c r="H202" s="62" t="s">
        <v>13</v>
      </c>
      <c r="I202" s="62" t="s">
        <v>163</v>
      </c>
      <c r="J202" s="62" t="s">
        <v>273</v>
      </c>
      <c r="K202" s="62" t="s">
        <v>234</v>
      </c>
      <c r="L202" s="64">
        <v>54</v>
      </c>
      <c r="M202" s="64">
        <f t="shared" si="54"/>
        <v>22.235294117647058</v>
      </c>
      <c r="N202" s="65">
        <f t="shared" si="63"/>
        <v>0</v>
      </c>
      <c r="O202" s="66">
        <f t="shared" si="64"/>
        <v>0</v>
      </c>
      <c r="P202" s="62" t="s">
        <v>38</v>
      </c>
      <c r="Q202" s="67">
        <f t="shared" si="65"/>
        <v>0</v>
      </c>
      <c r="R202" s="64" t="e">
        <f t="shared" si="58"/>
        <v>#DIV/0!</v>
      </c>
      <c r="S202" s="64" t="e">
        <f t="shared" si="59"/>
        <v>#DIV/0!</v>
      </c>
      <c r="T202" s="67" t="e">
        <f t="shared" si="60"/>
        <v>#DIV/0!</v>
      </c>
      <c r="U202" s="64" t="e">
        <f t="shared" si="61"/>
        <v>#DIV/0!</v>
      </c>
      <c r="V202" s="68" t="e">
        <f t="shared" si="62"/>
        <v>#DIV/0!</v>
      </c>
    </row>
    <row r="203" spans="1:22" x14ac:dyDescent="0.3">
      <c r="A203" s="61" t="s">
        <v>384</v>
      </c>
      <c r="B203" s="62" t="s">
        <v>234</v>
      </c>
      <c r="C203" s="62" t="s">
        <v>493</v>
      </c>
      <c r="D203" s="62" t="s">
        <v>505</v>
      </c>
      <c r="E203" s="63" t="s">
        <v>460</v>
      </c>
      <c r="F203" s="62" t="s">
        <v>398</v>
      </c>
      <c r="G203" s="62" t="s">
        <v>179</v>
      </c>
      <c r="H203" s="62" t="s">
        <v>13</v>
      </c>
      <c r="I203" s="62" t="s">
        <v>163</v>
      </c>
      <c r="J203" s="62" t="s">
        <v>273</v>
      </c>
      <c r="K203" s="62" t="s">
        <v>234</v>
      </c>
      <c r="L203" s="64">
        <v>54</v>
      </c>
      <c r="M203" s="64">
        <f t="shared" si="54"/>
        <v>22.235294117647058</v>
      </c>
      <c r="N203" s="65">
        <f t="shared" si="63"/>
        <v>0</v>
      </c>
      <c r="O203" s="66">
        <f t="shared" si="64"/>
        <v>0</v>
      </c>
      <c r="P203" s="62" t="s">
        <v>38</v>
      </c>
      <c r="Q203" s="67">
        <f t="shared" si="65"/>
        <v>0</v>
      </c>
      <c r="R203" s="64" t="e">
        <f t="shared" si="58"/>
        <v>#DIV/0!</v>
      </c>
      <c r="S203" s="64" t="e">
        <f t="shared" si="59"/>
        <v>#DIV/0!</v>
      </c>
      <c r="T203" s="67" t="e">
        <f t="shared" si="60"/>
        <v>#DIV/0!</v>
      </c>
      <c r="U203" s="64" t="e">
        <f t="shared" si="61"/>
        <v>#DIV/0!</v>
      </c>
      <c r="V203" s="68" t="e">
        <f t="shared" si="62"/>
        <v>#DIV/0!</v>
      </c>
    </row>
    <row r="204" spans="1:22" x14ac:dyDescent="0.3">
      <c r="A204" s="61" t="s">
        <v>384</v>
      </c>
      <c r="B204" s="62" t="s">
        <v>234</v>
      </c>
      <c r="C204" s="62" t="s">
        <v>493</v>
      </c>
      <c r="D204" s="62" t="s">
        <v>506</v>
      </c>
      <c r="E204" s="63" t="s">
        <v>460</v>
      </c>
      <c r="F204" s="62" t="s">
        <v>398</v>
      </c>
      <c r="G204" s="62" t="s">
        <v>179</v>
      </c>
      <c r="H204" s="62" t="s">
        <v>13</v>
      </c>
      <c r="I204" s="62" t="s">
        <v>163</v>
      </c>
      <c r="J204" s="62" t="s">
        <v>273</v>
      </c>
      <c r="K204" s="62" t="s">
        <v>234</v>
      </c>
      <c r="L204" s="64">
        <v>54</v>
      </c>
      <c r="M204" s="64">
        <f t="shared" si="54"/>
        <v>22.235294117647058</v>
      </c>
      <c r="N204" s="65">
        <f t="shared" si="63"/>
        <v>0</v>
      </c>
      <c r="O204" s="66">
        <f t="shared" si="64"/>
        <v>0</v>
      </c>
      <c r="P204" s="62" t="s">
        <v>38</v>
      </c>
      <c r="Q204" s="67">
        <f t="shared" si="65"/>
        <v>0</v>
      </c>
      <c r="R204" s="64" t="e">
        <f t="shared" si="58"/>
        <v>#DIV/0!</v>
      </c>
      <c r="S204" s="64" t="e">
        <f t="shared" si="59"/>
        <v>#DIV/0!</v>
      </c>
      <c r="T204" s="67" t="e">
        <f t="shared" si="60"/>
        <v>#DIV/0!</v>
      </c>
      <c r="U204" s="64" t="e">
        <f t="shared" si="61"/>
        <v>#DIV/0!</v>
      </c>
      <c r="V204" s="68" t="e">
        <f t="shared" si="62"/>
        <v>#DIV/0!</v>
      </c>
    </row>
    <row r="205" spans="1:22" x14ac:dyDescent="0.3">
      <c r="A205" s="61" t="s">
        <v>384</v>
      </c>
      <c r="B205" s="62" t="s">
        <v>234</v>
      </c>
      <c r="C205" s="62" t="s">
        <v>493</v>
      </c>
      <c r="D205" s="62" t="s">
        <v>507</v>
      </c>
      <c r="E205" s="63" t="s">
        <v>460</v>
      </c>
      <c r="F205" s="62" t="s">
        <v>398</v>
      </c>
      <c r="G205" s="62" t="s">
        <v>179</v>
      </c>
      <c r="H205" s="62" t="s">
        <v>13</v>
      </c>
      <c r="I205" s="62" t="s">
        <v>163</v>
      </c>
      <c r="J205" s="62" t="s">
        <v>273</v>
      </c>
      <c r="K205" s="62" t="s">
        <v>234</v>
      </c>
      <c r="L205" s="64">
        <v>54</v>
      </c>
      <c r="M205" s="64">
        <f t="shared" si="54"/>
        <v>22.235294117647058</v>
      </c>
      <c r="N205" s="65">
        <f t="shared" si="63"/>
        <v>0</v>
      </c>
      <c r="O205" s="66">
        <f t="shared" si="64"/>
        <v>0</v>
      </c>
      <c r="P205" s="62" t="s">
        <v>38</v>
      </c>
      <c r="Q205" s="67">
        <f t="shared" si="65"/>
        <v>0</v>
      </c>
      <c r="R205" s="64" t="e">
        <f t="shared" si="58"/>
        <v>#DIV/0!</v>
      </c>
      <c r="S205" s="64" t="e">
        <f t="shared" si="59"/>
        <v>#DIV/0!</v>
      </c>
      <c r="T205" s="67" t="e">
        <f t="shared" si="60"/>
        <v>#DIV/0!</v>
      </c>
      <c r="U205" s="64" t="e">
        <f t="shared" si="61"/>
        <v>#DIV/0!</v>
      </c>
      <c r="V205" s="68" t="e">
        <f t="shared" si="62"/>
        <v>#DIV/0!</v>
      </c>
    </row>
    <row r="206" spans="1:22" x14ac:dyDescent="0.3">
      <c r="A206" s="61" t="s">
        <v>384</v>
      </c>
      <c r="B206" s="62" t="s">
        <v>234</v>
      </c>
      <c r="C206" s="62" t="s">
        <v>493</v>
      </c>
      <c r="D206" s="62" t="s">
        <v>508</v>
      </c>
      <c r="E206" s="63" t="s">
        <v>460</v>
      </c>
      <c r="F206" s="62" t="s">
        <v>398</v>
      </c>
      <c r="G206" s="62" t="s">
        <v>179</v>
      </c>
      <c r="H206" s="62" t="s">
        <v>13</v>
      </c>
      <c r="I206" s="62" t="s">
        <v>163</v>
      </c>
      <c r="J206" s="62" t="s">
        <v>273</v>
      </c>
      <c r="K206" s="62" t="s">
        <v>234</v>
      </c>
      <c r="L206" s="64">
        <v>54</v>
      </c>
      <c r="M206" s="64">
        <f t="shared" si="54"/>
        <v>22.235294117647058</v>
      </c>
      <c r="N206" s="65">
        <f t="shared" si="63"/>
        <v>0</v>
      </c>
      <c r="O206" s="66">
        <f t="shared" si="64"/>
        <v>0</v>
      </c>
      <c r="P206" s="62" t="s">
        <v>38</v>
      </c>
      <c r="Q206" s="67">
        <f t="shared" si="65"/>
        <v>0</v>
      </c>
      <c r="R206" s="64" t="e">
        <f t="shared" si="58"/>
        <v>#DIV/0!</v>
      </c>
      <c r="S206" s="64" t="e">
        <f t="shared" si="59"/>
        <v>#DIV/0!</v>
      </c>
      <c r="T206" s="67" t="e">
        <f t="shared" si="60"/>
        <v>#DIV/0!</v>
      </c>
      <c r="U206" s="64" t="e">
        <f t="shared" si="61"/>
        <v>#DIV/0!</v>
      </c>
      <c r="V206" s="68" t="e">
        <f t="shared" si="62"/>
        <v>#DIV/0!</v>
      </c>
    </row>
    <row r="207" spans="1:22" x14ac:dyDescent="0.3">
      <c r="A207" s="61" t="s">
        <v>384</v>
      </c>
      <c r="B207" s="62" t="s">
        <v>234</v>
      </c>
      <c r="C207" s="62" t="s">
        <v>493</v>
      </c>
      <c r="D207" s="62" t="s">
        <v>509</v>
      </c>
      <c r="E207" s="63" t="s">
        <v>460</v>
      </c>
      <c r="F207" s="62" t="s">
        <v>398</v>
      </c>
      <c r="G207" s="62" t="s">
        <v>179</v>
      </c>
      <c r="H207" s="62" t="s">
        <v>13</v>
      </c>
      <c r="I207" s="62" t="s">
        <v>163</v>
      </c>
      <c r="J207" s="62" t="s">
        <v>273</v>
      </c>
      <c r="K207" s="62" t="s">
        <v>234</v>
      </c>
      <c r="L207" s="64">
        <v>54</v>
      </c>
      <c r="M207" s="64">
        <f t="shared" si="54"/>
        <v>22.235294117647058</v>
      </c>
      <c r="N207" s="65">
        <f t="shared" si="63"/>
        <v>0</v>
      </c>
      <c r="O207" s="66">
        <f t="shared" si="64"/>
        <v>0</v>
      </c>
      <c r="P207" s="62" t="s">
        <v>38</v>
      </c>
      <c r="Q207" s="67">
        <f t="shared" si="65"/>
        <v>0</v>
      </c>
      <c r="R207" s="64" t="e">
        <f t="shared" si="58"/>
        <v>#DIV/0!</v>
      </c>
      <c r="S207" s="64" t="e">
        <f t="shared" si="59"/>
        <v>#DIV/0!</v>
      </c>
      <c r="T207" s="67" t="e">
        <f t="shared" si="60"/>
        <v>#DIV/0!</v>
      </c>
      <c r="U207" s="64" t="e">
        <f t="shared" si="61"/>
        <v>#DIV/0!</v>
      </c>
      <c r="V207" s="68" t="e">
        <f t="shared" si="62"/>
        <v>#DIV/0!</v>
      </c>
    </row>
    <row r="208" spans="1:22" x14ac:dyDescent="0.3">
      <c r="A208" s="61" t="s">
        <v>384</v>
      </c>
      <c r="B208" s="62" t="s">
        <v>234</v>
      </c>
      <c r="C208" s="62" t="s">
        <v>493</v>
      </c>
      <c r="D208" s="62" t="s">
        <v>510</v>
      </c>
      <c r="E208" s="63" t="s">
        <v>460</v>
      </c>
      <c r="F208" s="62" t="s">
        <v>398</v>
      </c>
      <c r="G208" s="62" t="s">
        <v>179</v>
      </c>
      <c r="H208" s="62" t="s">
        <v>13</v>
      </c>
      <c r="I208" s="62" t="s">
        <v>163</v>
      </c>
      <c r="J208" s="62" t="s">
        <v>273</v>
      </c>
      <c r="K208" s="62" t="s">
        <v>234</v>
      </c>
      <c r="L208" s="64">
        <v>54</v>
      </c>
      <c r="M208" s="64">
        <f t="shared" si="54"/>
        <v>22.235294117647058</v>
      </c>
      <c r="N208" s="65">
        <f t="shared" si="63"/>
        <v>0</v>
      </c>
      <c r="O208" s="66">
        <f t="shared" si="64"/>
        <v>0</v>
      </c>
      <c r="P208" s="62" t="s">
        <v>38</v>
      </c>
      <c r="Q208" s="67">
        <f t="shared" si="65"/>
        <v>0</v>
      </c>
      <c r="R208" s="64" t="e">
        <f t="shared" si="58"/>
        <v>#DIV/0!</v>
      </c>
      <c r="S208" s="64" t="e">
        <f t="shared" si="59"/>
        <v>#DIV/0!</v>
      </c>
      <c r="T208" s="67" t="e">
        <f t="shared" si="60"/>
        <v>#DIV/0!</v>
      </c>
      <c r="U208" s="64" t="e">
        <f t="shared" si="61"/>
        <v>#DIV/0!</v>
      </c>
      <c r="V208" s="68" t="e">
        <f t="shared" si="62"/>
        <v>#DIV/0!</v>
      </c>
    </row>
    <row r="209" spans="1:22" x14ac:dyDescent="0.3">
      <c r="A209" s="61" t="s">
        <v>384</v>
      </c>
      <c r="B209" s="62" t="s">
        <v>234</v>
      </c>
      <c r="C209" s="62" t="s">
        <v>493</v>
      </c>
      <c r="D209" s="62" t="s">
        <v>511</v>
      </c>
      <c r="E209" s="63" t="s">
        <v>460</v>
      </c>
      <c r="F209" s="62" t="s">
        <v>398</v>
      </c>
      <c r="G209" s="62" t="s">
        <v>179</v>
      </c>
      <c r="H209" s="62" t="s">
        <v>13</v>
      </c>
      <c r="I209" s="62" t="s">
        <v>163</v>
      </c>
      <c r="J209" s="62" t="s">
        <v>273</v>
      </c>
      <c r="K209" s="62" t="s">
        <v>234</v>
      </c>
      <c r="L209" s="64">
        <v>56</v>
      </c>
      <c r="M209" s="64">
        <f t="shared" si="54"/>
        <v>23.058823529411764</v>
      </c>
      <c r="N209" s="65">
        <f t="shared" si="63"/>
        <v>0</v>
      </c>
      <c r="O209" s="66">
        <f t="shared" si="64"/>
        <v>0</v>
      </c>
      <c r="P209" s="62" t="s">
        <v>38</v>
      </c>
      <c r="Q209" s="67">
        <f t="shared" si="65"/>
        <v>0</v>
      </c>
      <c r="R209" s="64" t="e">
        <f t="shared" si="58"/>
        <v>#DIV/0!</v>
      </c>
      <c r="S209" s="64" t="e">
        <f t="shared" si="59"/>
        <v>#DIV/0!</v>
      </c>
      <c r="T209" s="67" t="e">
        <f t="shared" si="60"/>
        <v>#DIV/0!</v>
      </c>
      <c r="U209" s="64" t="e">
        <f t="shared" si="61"/>
        <v>#DIV/0!</v>
      </c>
      <c r="V209" s="68" t="e">
        <f t="shared" si="62"/>
        <v>#DIV/0!</v>
      </c>
    </row>
    <row r="210" spans="1:22" x14ac:dyDescent="0.3">
      <c r="A210" s="61" t="s">
        <v>384</v>
      </c>
      <c r="B210" s="62" t="s">
        <v>234</v>
      </c>
      <c r="C210" s="62" t="s">
        <v>493</v>
      </c>
      <c r="D210" s="62" t="s">
        <v>512</v>
      </c>
      <c r="E210" s="63" t="s">
        <v>431</v>
      </c>
      <c r="F210" s="62" t="s">
        <v>260</v>
      </c>
      <c r="G210" s="62" t="s">
        <v>165</v>
      </c>
      <c r="H210" s="62" t="s">
        <v>13</v>
      </c>
      <c r="I210" s="62" t="s">
        <v>163</v>
      </c>
      <c r="J210" s="62" t="s">
        <v>261</v>
      </c>
      <c r="K210" s="62" t="s">
        <v>234</v>
      </c>
      <c r="L210" s="64">
        <v>26</v>
      </c>
      <c r="M210" s="64">
        <f t="shared" si="54"/>
        <v>10.705882352941176</v>
      </c>
      <c r="N210" s="65">
        <f>prodnorm2</f>
        <v>0</v>
      </c>
      <c r="O210" s="66">
        <f>dagwerk2</f>
        <v>0</v>
      </c>
      <c r="P210" s="62" t="s">
        <v>38</v>
      </c>
      <c r="Q210" s="67">
        <f>uurtarief2</f>
        <v>0</v>
      </c>
      <c r="R210" s="64" t="e">
        <f t="shared" si="58"/>
        <v>#DIV/0!</v>
      </c>
      <c r="S210" s="64" t="e">
        <f t="shared" si="59"/>
        <v>#DIV/0!</v>
      </c>
      <c r="T210" s="67" t="e">
        <f t="shared" si="60"/>
        <v>#DIV/0!</v>
      </c>
      <c r="U210" s="64" t="e">
        <f t="shared" si="61"/>
        <v>#DIV/0!</v>
      </c>
      <c r="V210" s="68" t="e">
        <f t="shared" si="62"/>
        <v>#DIV/0!</v>
      </c>
    </row>
    <row r="211" spans="1:22" x14ac:dyDescent="0.3">
      <c r="A211" s="61" t="s">
        <v>384</v>
      </c>
      <c r="B211" s="62" t="s">
        <v>234</v>
      </c>
      <c r="C211" s="62" t="s">
        <v>493</v>
      </c>
      <c r="D211" s="62" t="s">
        <v>513</v>
      </c>
      <c r="E211" s="63" t="s">
        <v>431</v>
      </c>
      <c r="F211" s="62" t="s">
        <v>260</v>
      </c>
      <c r="G211" s="62" t="s">
        <v>165</v>
      </c>
      <c r="H211" s="62" t="s">
        <v>13</v>
      </c>
      <c r="I211" s="62" t="s">
        <v>163</v>
      </c>
      <c r="J211" s="62" t="s">
        <v>261</v>
      </c>
      <c r="K211" s="62" t="s">
        <v>234</v>
      </c>
      <c r="L211" s="64">
        <v>26</v>
      </c>
      <c r="M211" s="64">
        <f t="shared" ref="M211:M242" si="66">L211*VLOOKUP(H211,dagsoorttabel1,2,FALSE)</f>
        <v>10.705882352941176</v>
      </c>
      <c r="N211" s="65">
        <f>prodnorm2</f>
        <v>0</v>
      </c>
      <c r="O211" s="66">
        <f>dagwerk2</f>
        <v>0</v>
      </c>
      <c r="P211" s="62" t="s">
        <v>38</v>
      </c>
      <c r="Q211" s="67">
        <f>uurtarief2</f>
        <v>0</v>
      </c>
      <c r="R211" s="64" t="e">
        <f t="shared" ref="R211:R220" si="67">IF(ISBLANK(N211),0,M211/ROUND(N211,4))</f>
        <v>#DIV/0!</v>
      </c>
      <c r="S211" s="64" t="e">
        <f t="shared" ref="S211:S242" si="68">IF(ISBLANK(N211),0,R211*ROUND(O211,2))</f>
        <v>#DIV/0!</v>
      </c>
      <c r="T211" s="67" t="e">
        <f t="shared" ref="T211:T220" si="69">ROUND(Q211,2)*R211</f>
        <v>#DIV/0!</v>
      </c>
      <c r="U211" s="64" t="e">
        <f t="shared" ref="U211:U220" si="70">R211*dagenperjaar1</f>
        <v>#DIV/0!</v>
      </c>
      <c r="V211" s="68" t="e">
        <f t="shared" ref="V211:V242" si="71">U211*ROUND(Q211,2)</f>
        <v>#DIV/0!</v>
      </c>
    </row>
    <row r="212" spans="1:22" x14ac:dyDescent="0.3">
      <c r="A212" s="61" t="s">
        <v>384</v>
      </c>
      <c r="B212" s="62" t="s">
        <v>234</v>
      </c>
      <c r="C212" s="62" t="s">
        <v>493</v>
      </c>
      <c r="D212" s="62" t="s">
        <v>514</v>
      </c>
      <c r="E212" s="63" t="s">
        <v>388</v>
      </c>
      <c r="F212" s="62" t="s">
        <v>270</v>
      </c>
      <c r="G212" s="62" t="s">
        <v>203</v>
      </c>
      <c r="H212" s="62" t="s">
        <v>10</v>
      </c>
      <c r="I212" s="62" t="s">
        <v>163</v>
      </c>
      <c r="J212" s="62" t="s">
        <v>246</v>
      </c>
      <c r="K212" s="62" t="s">
        <v>234</v>
      </c>
      <c r="L212" s="64">
        <v>10</v>
      </c>
      <c r="M212" s="64">
        <f t="shared" si="66"/>
        <v>8.235294117647058</v>
      </c>
      <c r="N212" s="65">
        <f t="shared" ref="N212:N217" si="72">prodnorm24</f>
        <v>0</v>
      </c>
      <c r="O212" s="66">
        <f t="shared" ref="O212:O217" si="73">dagwerk24</f>
        <v>0</v>
      </c>
      <c r="P212" s="62" t="s">
        <v>38</v>
      </c>
      <c r="Q212" s="67">
        <f t="shared" ref="Q212:Q217" si="74">uurtarief24</f>
        <v>0</v>
      </c>
      <c r="R212" s="64" t="e">
        <f t="shared" si="67"/>
        <v>#DIV/0!</v>
      </c>
      <c r="S212" s="64" t="e">
        <f t="shared" si="68"/>
        <v>#DIV/0!</v>
      </c>
      <c r="T212" s="67" t="e">
        <f t="shared" si="69"/>
        <v>#DIV/0!</v>
      </c>
      <c r="U212" s="64" t="e">
        <f t="shared" si="70"/>
        <v>#DIV/0!</v>
      </c>
      <c r="V212" s="68" t="e">
        <f t="shared" si="71"/>
        <v>#DIV/0!</v>
      </c>
    </row>
    <row r="213" spans="1:22" x14ac:dyDescent="0.3">
      <c r="A213" s="61" t="s">
        <v>384</v>
      </c>
      <c r="B213" s="62" t="s">
        <v>234</v>
      </c>
      <c r="C213" s="62" t="s">
        <v>493</v>
      </c>
      <c r="D213" s="62" t="s">
        <v>515</v>
      </c>
      <c r="E213" s="63" t="s">
        <v>388</v>
      </c>
      <c r="F213" s="62" t="s">
        <v>270</v>
      </c>
      <c r="G213" s="62" t="s">
        <v>203</v>
      </c>
      <c r="H213" s="62" t="s">
        <v>10</v>
      </c>
      <c r="I213" s="62" t="s">
        <v>163</v>
      </c>
      <c r="J213" s="62" t="s">
        <v>246</v>
      </c>
      <c r="K213" s="62" t="s">
        <v>234</v>
      </c>
      <c r="L213" s="64">
        <v>11</v>
      </c>
      <c r="M213" s="64">
        <f t="shared" si="66"/>
        <v>9.0588235294117645</v>
      </c>
      <c r="N213" s="65">
        <f t="shared" si="72"/>
        <v>0</v>
      </c>
      <c r="O213" s="66">
        <f t="shared" si="73"/>
        <v>0</v>
      </c>
      <c r="P213" s="62" t="s">
        <v>38</v>
      </c>
      <c r="Q213" s="67">
        <f t="shared" si="74"/>
        <v>0</v>
      </c>
      <c r="R213" s="64" t="e">
        <f t="shared" si="67"/>
        <v>#DIV/0!</v>
      </c>
      <c r="S213" s="64" t="e">
        <f t="shared" si="68"/>
        <v>#DIV/0!</v>
      </c>
      <c r="T213" s="67" t="e">
        <f t="shared" si="69"/>
        <v>#DIV/0!</v>
      </c>
      <c r="U213" s="64" t="e">
        <f t="shared" si="70"/>
        <v>#DIV/0!</v>
      </c>
      <c r="V213" s="68" t="e">
        <f t="shared" si="71"/>
        <v>#DIV/0!</v>
      </c>
    </row>
    <row r="214" spans="1:22" x14ac:dyDescent="0.3">
      <c r="A214" s="61" t="s">
        <v>384</v>
      </c>
      <c r="B214" s="62" t="s">
        <v>234</v>
      </c>
      <c r="C214" s="62" t="s">
        <v>493</v>
      </c>
      <c r="D214" s="62" t="s">
        <v>516</v>
      </c>
      <c r="E214" s="63" t="s">
        <v>388</v>
      </c>
      <c r="F214" s="62" t="s">
        <v>270</v>
      </c>
      <c r="G214" s="62" t="s">
        <v>203</v>
      </c>
      <c r="H214" s="62" t="s">
        <v>10</v>
      </c>
      <c r="I214" s="62" t="s">
        <v>163</v>
      </c>
      <c r="J214" s="62" t="s">
        <v>246</v>
      </c>
      <c r="K214" s="62" t="s">
        <v>234</v>
      </c>
      <c r="L214" s="64">
        <v>11</v>
      </c>
      <c r="M214" s="64">
        <f t="shared" si="66"/>
        <v>9.0588235294117645</v>
      </c>
      <c r="N214" s="65">
        <f t="shared" si="72"/>
        <v>0</v>
      </c>
      <c r="O214" s="66">
        <f t="shared" si="73"/>
        <v>0</v>
      </c>
      <c r="P214" s="62" t="s">
        <v>38</v>
      </c>
      <c r="Q214" s="67">
        <f t="shared" si="74"/>
        <v>0</v>
      </c>
      <c r="R214" s="64" t="e">
        <f t="shared" si="67"/>
        <v>#DIV/0!</v>
      </c>
      <c r="S214" s="64" t="e">
        <f t="shared" si="68"/>
        <v>#DIV/0!</v>
      </c>
      <c r="T214" s="67" t="e">
        <f t="shared" si="69"/>
        <v>#DIV/0!</v>
      </c>
      <c r="U214" s="64" t="e">
        <f t="shared" si="70"/>
        <v>#DIV/0!</v>
      </c>
      <c r="V214" s="68" t="e">
        <f t="shared" si="71"/>
        <v>#DIV/0!</v>
      </c>
    </row>
    <row r="215" spans="1:22" x14ac:dyDescent="0.3">
      <c r="A215" s="61" t="s">
        <v>384</v>
      </c>
      <c r="B215" s="62" t="s">
        <v>234</v>
      </c>
      <c r="C215" s="62" t="s">
        <v>493</v>
      </c>
      <c r="D215" s="62" t="s">
        <v>517</v>
      </c>
      <c r="E215" s="63" t="s">
        <v>388</v>
      </c>
      <c r="F215" s="62" t="s">
        <v>270</v>
      </c>
      <c r="G215" s="62" t="s">
        <v>203</v>
      </c>
      <c r="H215" s="62" t="s">
        <v>10</v>
      </c>
      <c r="I215" s="62" t="s">
        <v>163</v>
      </c>
      <c r="J215" s="62" t="s">
        <v>246</v>
      </c>
      <c r="K215" s="62" t="s">
        <v>234</v>
      </c>
      <c r="L215" s="64">
        <v>10</v>
      </c>
      <c r="M215" s="64">
        <f t="shared" si="66"/>
        <v>8.235294117647058</v>
      </c>
      <c r="N215" s="65">
        <f t="shared" si="72"/>
        <v>0</v>
      </c>
      <c r="O215" s="66">
        <f t="shared" si="73"/>
        <v>0</v>
      </c>
      <c r="P215" s="62" t="s">
        <v>38</v>
      </c>
      <c r="Q215" s="67">
        <f t="shared" si="74"/>
        <v>0</v>
      </c>
      <c r="R215" s="64" t="e">
        <f t="shared" si="67"/>
        <v>#DIV/0!</v>
      </c>
      <c r="S215" s="64" t="e">
        <f t="shared" si="68"/>
        <v>#DIV/0!</v>
      </c>
      <c r="T215" s="67" t="e">
        <f t="shared" si="69"/>
        <v>#DIV/0!</v>
      </c>
      <c r="U215" s="64" t="e">
        <f t="shared" si="70"/>
        <v>#DIV/0!</v>
      </c>
      <c r="V215" s="68" t="e">
        <f t="shared" si="71"/>
        <v>#DIV/0!</v>
      </c>
    </row>
    <row r="216" spans="1:22" x14ac:dyDescent="0.3">
      <c r="A216" s="61" t="s">
        <v>384</v>
      </c>
      <c r="B216" s="62" t="s">
        <v>234</v>
      </c>
      <c r="C216" s="62" t="s">
        <v>493</v>
      </c>
      <c r="D216" s="62" t="s">
        <v>518</v>
      </c>
      <c r="E216" s="63" t="s">
        <v>388</v>
      </c>
      <c r="F216" s="62" t="s">
        <v>270</v>
      </c>
      <c r="G216" s="62" t="s">
        <v>203</v>
      </c>
      <c r="H216" s="62" t="s">
        <v>10</v>
      </c>
      <c r="I216" s="62" t="s">
        <v>163</v>
      </c>
      <c r="J216" s="62" t="s">
        <v>246</v>
      </c>
      <c r="K216" s="62" t="s">
        <v>234</v>
      </c>
      <c r="L216" s="64">
        <v>11</v>
      </c>
      <c r="M216" s="64">
        <f t="shared" si="66"/>
        <v>9.0588235294117645</v>
      </c>
      <c r="N216" s="65">
        <f t="shared" si="72"/>
        <v>0</v>
      </c>
      <c r="O216" s="66">
        <f t="shared" si="73"/>
        <v>0</v>
      </c>
      <c r="P216" s="62" t="s">
        <v>38</v>
      </c>
      <c r="Q216" s="67">
        <f t="shared" si="74"/>
        <v>0</v>
      </c>
      <c r="R216" s="64" t="e">
        <f t="shared" si="67"/>
        <v>#DIV/0!</v>
      </c>
      <c r="S216" s="64" t="e">
        <f t="shared" si="68"/>
        <v>#DIV/0!</v>
      </c>
      <c r="T216" s="67" t="e">
        <f t="shared" si="69"/>
        <v>#DIV/0!</v>
      </c>
      <c r="U216" s="64" t="e">
        <f t="shared" si="70"/>
        <v>#DIV/0!</v>
      </c>
      <c r="V216" s="68" t="e">
        <f t="shared" si="71"/>
        <v>#DIV/0!</v>
      </c>
    </row>
    <row r="217" spans="1:22" x14ac:dyDescent="0.3">
      <c r="A217" s="61" t="s">
        <v>384</v>
      </c>
      <c r="B217" s="62" t="s">
        <v>234</v>
      </c>
      <c r="C217" s="62" t="s">
        <v>493</v>
      </c>
      <c r="D217" s="62" t="s">
        <v>519</v>
      </c>
      <c r="E217" s="63" t="s">
        <v>388</v>
      </c>
      <c r="F217" s="62" t="s">
        <v>270</v>
      </c>
      <c r="G217" s="62" t="s">
        <v>203</v>
      </c>
      <c r="H217" s="62" t="s">
        <v>10</v>
      </c>
      <c r="I217" s="62" t="s">
        <v>163</v>
      </c>
      <c r="J217" s="62" t="s">
        <v>246</v>
      </c>
      <c r="K217" s="62" t="s">
        <v>234</v>
      </c>
      <c r="L217" s="64">
        <v>10</v>
      </c>
      <c r="M217" s="64">
        <f t="shared" si="66"/>
        <v>8.235294117647058</v>
      </c>
      <c r="N217" s="65">
        <f t="shared" si="72"/>
        <v>0</v>
      </c>
      <c r="O217" s="66">
        <f t="shared" si="73"/>
        <v>0</v>
      </c>
      <c r="P217" s="62" t="s">
        <v>38</v>
      </c>
      <c r="Q217" s="67">
        <f t="shared" si="74"/>
        <v>0</v>
      </c>
      <c r="R217" s="64" t="e">
        <f t="shared" si="67"/>
        <v>#DIV/0!</v>
      </c>
      <c r="S217" s="64" t="e">
        <f t="shared" si="68"/>
        <v>#DIV/0!</v>
      </c>
      <c r="T217" s="67" t="e">
        <f t="shared" si="69"/>
        <v>#DIV/0!</v>
      </c>
      <c r="U217" s="64" t="e">
        <f t="shared" si="70"/>
        <v>#DIV/0!</v>
      </c>
      <c r="V217" s="68" t="e">
        <f t="shared" si="71"/>
        <v>#DIV/0!</v>
      </c>
    </row>
    <row r="218" spans="1:22" x14ac:dyDescent="0.3">
      <c r="A218" s="61" t="s">
        <v>384</v>
      </c>
      <c r="B218" s="62" t="s">
        <v>234</v>
      </c>
      <c r="C218" s="62" t="s">
        <v>493</v>
      </c>
      <c r="D218" s="62" t="s">
        <v>520</v>
      </c>
      <c r="E218" s="63" t="s">
        <v>448</v>
      </c>
      <c r="F218" s="62" t="s">
        <v>398</v>
      </c>
      <c r="G218" s="62" t="s">
        <v>207</v>
      </c>
      <c r="H218" s="62" t="s">
        <v>10</v>
      </c>
      <c r="I218" s="62" t="s">
        <v>163</v>
      </c>
      <c r="J218" s="62" t="s">
        <v>239</v>
      </c>
      <c r="K218" s="62" t="s">
        <v>234</v>
      </c>
      <c r="L218" s="64">
        <v>0</v>
      </c>
      <c r="M218" s="64">
        <f t="shared" si="66"/>
        <v>0</v>
      </c>
      <c r="N218" s="65"/>
      <c r="O218" s="66"/>
      <c r="P218" s="62" t="s">
        <v>38</v>
      </c>
      <c r="Q218" s="67"/>
      <c r="R218" s="64">
        <f t="shared" si="67"/>
        <v>0</v>
      </c>
      <c r="S218" s="64">
        <f t="shared" si="68"/>
        <v>0</v>
      </c>
      <c r="T218" s="67">
        <f t="shared" si="69"/>
        <v>0</v>
      </c>
      <c r="U218" s="64">
        <f t="shared" si="70"/>
        <v>0</v>
      </c>
      <c r="V218" s="68">
        <f t="shared" si="71"/>
        <v>0</v>
      </c>
    </row>
    <row r="219" spans="1:22" x14ac:dyDescent="0.3">
      <c r="A219" s="61" t="s">
        <v>384</v>
      </c>
      <c r="B219" s="62" t="s">
        <v>234</v>
      </c>
      <c r="C219" s="62" t="s">
        <v>493</v>
      </c>
      <c r="D219" s="62" t="s">
        <v>521</v>
      </c>
      <c r="E219" s="63" t="s">
        <v>448</v>
      </c>
      <c r="F219" s="62" t="s">
        <v>398</v>
      </c>
      <c r="G219" s="62" t="s">
        <v>207</v>
      </c>
      <c r="H219" s="62" t="s">
        <v>10</v>
      </c>
      <c r="I219" s="62" t="s">
        <v>163</v>
      </c>
      <c r="J219" s="62" t="s">
        <v>239</v>
      </c>
      <c r="K219" s="62" t="s">
        <v>234</v>
      </c>
      <c r="L219" s="64">
        <v>0</v>
      </c>
      <c r="M219" s="64">
        <f t="shared" si="66"/>
        <v>0</v>
      </c>
      <c r="N219" s="65"/>
      <c r="O219" s="66"/>
      <c r="P219" s="62" t="s">
        <v>38</v>
      </c>
      <c r="Q219" s="67"/>
      <c r="R219" s="64">
        <f t="shared" si="67"/>
        <v>0</v>
      </c>
      <c r="S219" s="64">
        <f t="shared" si="68"/>
        <v>0</v>
      </c>
      <c r="T219" s="67">
        <f t="shared" si="69"/>
        <v>0</v>
      </c>
      <c r="U219" s="64">
        <f t="shared" si="70"/>
        <v>0</v>
      </c>
      <c r="V219" s="68">
        <f t="shared" si="71"/>
        <v>0</v>
      </c>
    </row>
    <row r="220" spans="1:22" x14ac:dyDescent="0.3">
      <c r="A220" s="69" t="s">
        <v>384</v>
      </c>
      <c r="B220" s="70" t="s">
        <v>234</v>
      </c>
      <c r="C220" s="70" t="s">
        <v>493</v>
      </c>
      <c r="D220" s="70" t="s">
        <v>522</v>
      </c>
      <c r="E220" s="71" t="s">
        <v>448</v>
      </c>
      <c r="F220" s="70" t="s">
        <v>398</v>
      </c>
      <c r="G220" s="70" t="s">
        <v>207</v>
      </c>
      <c r="H220" s="70" t="s">
        <v>10</v>
      </c>
      <c r="I220" s="70" t="s">
        <v>163</v>
      </c>
      <c r="J220" s="70" t="s">
        <v>239</v>
      </c>
      <c r="K220" s="70" t="s">
        <v>234</v>
      </c>
      <c r="L220" s="72">
        <v>0</v>
      </c>
      <c r="M220" s="72">
        <f t="shared" si="66"/>
        <v>0</v>
      </c>
      <c r="N220" s="73"/>
      <c r="O220" s="74"/>
      <c r="P220" s="70" t="s">
        <v>38</v>
      </c>
      <c r="Q220" s="75"/>
      <c r="R220" s="72">
        <f t="shared" si="67"/>
        <v>0</v>
      </c>
      <c r="S220" s="72">
        <f t="shared" si="68"/>
        <v>0</v>
      </c>
      <c r="T220" s="75">
        <f t="shared" si="69"/>
        <v>0</v>
      </c>
      <c r="U220" s="72">
        <f t="shared" si="70"/>
        <v>0</v>
      </c>
      <c r="V220" s="76">
        <f t="shared" si="71"/>
        <v>0</v>
      </c>
    </row>
    <row r="221" spans="1:22" x14ac:dyDescent="0.3">
      <c r="A221" s="77" t="s">
        <v>382</v>
      </c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6" t="e">
        <f>IF(_xlfn.SINGLE(object2_urenjaar1)&gt;0,_xlfn.SINGLE(object2_prijsjaar1)/_xlfn.SINGLE(object2_urenjaar1),0)</f>
        <v>#DIV/0!</v>
      </c>
      <c r="R221" s="45" t="e">
        <f>SUM(R83:R220)</f>
        <v>#DIV/0!</v>
      </c>
      <c r="S221" s="45" t="e">
        <f>SUM(S83:S220)</f>
        <v>#DIV/0!</v>
      </c>
      <c r="T221" s="46" t="e">
        <f>SUM(T83:T220)</f>
        <v>#DIV/0!</v>
      </c>
      <c r="U221" s="45" t="e">
        <f>SUM(U83:U220)</f>
        <v>#DIV/0!</v>
      </c>
      <c r="V221" s="47" t="e">
        <f>SUM(V83:V220)</f>
        <v>#DIV/0!</v>
      </c>
    </row>
    <row r="222" spans="1:22" x14ac:dyDescent="0.3">
      <c r="A222" s="52" t="s">
        <v>523</v>
      </c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42"/>
    </row>
    <row r="223" spans="1:22" x14ac:dyDescent="0.3">
      <c r="A223" s="53" t="s">
        <v>524</v>
      </c>
      <c r="B223" s="54" t="s">
        <v>234</v>
      </c>
      <c r="C223" s="54" t="s">
        <v>235</v>
      </c>
      <c r="D223" s="54" t="s">
        <v>525</v>
      </c>
      <c r="E223" s="55" t="s">
        <v>241</v>
      </c>
      <c r="F223" s="54" t="s">
        <v>398</v>
      </c>
      <c r="G223" s="54" t="s">
        <v>217</v>
      </c>
      <c r="H223" s="54" t="s">
        <v>10</v>
      </c>
      <c r="I223" s="54" t="s">
        <v>163</v>
      </c>
      <c r="J223" s="54" t="s">
        <v>239</v>
      </c>
      <c r="K223" s="54" t="s">
        <v>234</v>
      </c>
      <c r="L223" s="56">
        <v>34</v>
      </c>
      <c r="M223" s="56">
        <f t="shared" ref="M223:M254" si="75">L223*VLOOKUP(H223,dagsoorttabel1,2,FALSE)</f>
        <v>28</v>
      </c>
      <c r="N223" s="57">
        <f>prodnorm31</f>
        <v>0</v>
      </c>
      <c r="O223" s="58">
        <f>dagwerk31</f>
        <v>0</v>
      </c>
      <c r="P223" s="54" t="s">
        <v>38</v>
      </c>
      <c r="Q223" s="59">
        <f>uurtarief31</f>
        <v>0</v>
      </c>
      <c r="R223" s="56" t="e">
        <f t="shared" ref="R223:R254" si="76">IF(ISBLANK(N223),0,M223/ROUND(N223,4))</f>
        <v>#DIV/0!</v>
      </c>
      <c r="S223" s="56" t="e">
        <f t="shared" ref="S223:S254" si="77">IF(ISBLANK(N223),0,R223*ROUND(O223,2))</f>
        <v>#DIV/0!</v>
      </c>
      <c r="T223" s="59" t="e">
        <f t="shared" ref="T223:T254" si="78">ROUND(Q223,2)*R223</f>
        <v>#DIV/0!</v>
      </c>
      <c r="U223" s="56" t="e">
        <f t="shared" ref="U223:U254" si="79">R223*dagenperjaar1</f>
        <v>#DIV/0!</v>
      </c>
      <c r="V223" s="60" t="e">
        <f t="shared" ref="V223:V254" si="80">U223*ROUND(Q223,2)</f>
        <v>#DIV/0!</v>
      </c>
    </row>
    <row r="224" spans="1:22" x14ac:dyDescent="0.3">
      <c r="A224" s="61" t="s">
        <v>524</v>
      </c>
      <c r="B224" s="62" t="s">
        <v>234</v>
      </c>
      <c r="C224" s="62" t="s">
        <v>235</v>
      </c>
      <c r="D224" s="62" t="s">
        <v>526</v>
      </c>
      <c r="E224" s="63" t="s">
        <v>241</v>
      </c>
      <c r="F224" s="62" t="s">
        <v>398</v>
      </c>
      <c r="G224" s="62" t="s">
        <v>217</v>
      </c>
      <c r="H224" s="62" t="s">
        <v>10</v>
      </c>
      <c r="I224" s="62" t="s">
        <v>163</v>
      </c>
      <c r="J224" s="62" t="s">
        <v>239</v>
      </c>
      <c r="K224" s="62" t="s">
        <v>234</v>
      </c>
      <c r="L224" s="64">
        <v>40</v>
      </c>
      <c r="M224" s="64">
        <f t="shared" si="75"/>
        <v>32.941176470588232</v>
      </c>
      <c r="N224" s="65">
        <f>prodnorm31</f>
        <v>0</v>
      </c>
      <c r="O224" s="66">
        <f>dagwerk31</f>
        <v>0</v>
      </c>
      <c r="P224" s="62" t="s">
        <v>38</v>
      </c>
      <c r="Q224" s="67">
        <f>uurtarief31</f>
        <v>0</v>
      </c>
      <c r="R224" s="64" t="e">
        <f t="shared" si="76"/>
        <v>#DIV/0!</v>
      </c>
      <c r="S224" s="64" t="e">
        <f t="shared" si="77"/>
        <v>#DIV/0!</v>
      </c>
      <c r="T224" s="67" t="e">
        <f t="shared" si="78"/>
        <v>#DIV/0!</v>
      </c>
      <c r="U224" s="64" t="e">
        <f t="shared" si="79"/>
        <v>#DIV/0!</v>
      </c>
      <c r="V224" s="68" t="e">
        <f t="shared" si="80"/>
        <v>#DIV/0!</v>
      </c>
    </row>
    <row r="225" spans="1:22" ht="28.8" x14ac:dyDescent="0.3">
      <c r="A225" s="61" t="s">
        <v>524</v>
      </c>
      <c r="B225" s="62" t="s">
        <v>234</v>
      </c>
      <c r="C225" s="62" t="s">
        <v>235</v>
      </c>
      <c r="D225" s="62" t="s">
        <v>527</v>
      </c>
      <c r="E225" s="63" t="s">
        <v>528</v>
      </c>
      <c r="F225" s="62" t="s">
        <v>238</v>
      </c>
      <c r="G225" s="62" t="s">
        <v>211</v>
      </c>
      <c r="H225" s="62" t="s">
        <v>10</v>
      </c>
      <c r="I225" s="62" t="s">
        <v>163</v>
      </c>
      <c r="J225" s="62" t="s">
        <v>239</v>
      </c>
      <c r="K225" s="62" t="s">
        <v>234</v>
      </c>
      <c r="L225" s="64">
        <v>105</v>
      </c>
      <c r="M225" s="64">
        <f t="shared" si="75"/>
        <v>86.470588235294116</v>
      </c>
      <c r="N225" s="65">
        <f>prodnorm28</f>
        <v>0</v>
      </c>
      <c r="O225" s="66">
        <f>dagwerk28</f>
        <v>0</v>
      </c>
      <c r="P225" s="62" t="s">
        <v>38</v>
      </c>
      <c r="Q225" s="67">
        <f>uurtarief28</f>
        <v>0</v>
      </c>
      <c r="R225" s="64" t="e">
        <f t="shared" si="76"/>
        <v>#DIV/0!</v>
      </c>
      <c r="S225" s="64" t="e">
        <f t="shared" si="77"/>
        <v>#DIV/0!</v>
      </c>
      <c r="T225" s="67" t="e">
        <f t="shared" si="78"/>
        <v>#DIV/0!</v>
      </c>
      <c r="U225" s="64" t="e">
        <f t="shared" si="79"/>
        <v>#DIV/0!</v>
      </c>
      <c r="V225" s="68" t="e">
        <f t="shared" si="80"/>
        <v>#DIV/0!</v>
      </c>
    </row>
    <row r="226" spans="1:22" x14ac:dyDescent="0.3">
      <c r="A226" s="61" t="s">
        <v>524</v>
      </c>
      <c r="B226" s="62" t="s">
        <v>234</v>
      </c>
      <c r="C226" s="62" t="s">
        <v>235</v>
      </c>
      <c r="D226" s="62" t="s">
        <v>529</v>
      </c>
      <c r="E226" s="63" t="s">
        <v>530</v>
      </c>
      <c r="F226" s="62" t="s">
        <v>238</v>
      </c>
      <c r="G226" s="62" t="s">
        <v>211</v>
      </c>
      <c r="H226" s="62" t="s">
        <v>10</v>
      </c>
      <c r="I226" s="62" t="s">
        <v>163</v>
      </c>
      <c r="J226" s="62" t="s">
        <v>239</v>
      </c>
      <c r="K226" s="62" t="s">
        <v>234</v>
      </c>
      <c r="L226" s="64">
        <v>20</v>
      </c>
      <c r="M226" s="64">
        <f t="shared" si="75"/>
        <v>16.470588235294116</v>
      </c>
      <c r="N226" s="65">
        <f>prodnorm28</f>
        <v>0</v>
      </c>
      <c r="O226" s="66">
        <f>dagwerk28</f>
        <v>0</v>
      </c>
      <c r="P226" s="62" t="s">
        <v>38</v>
      </c>
      <c r="Q226" s="67">
        <f>uurtarief28</f>
        <v>0</v>
      </c>
      <c r="R226" s="64" t="e">
        <f t="shared" si="76"/>
        <v>#DIV/0!</v>
      </c>
      <c r="S226" s="64" t="e">
        <f t="shared" si="77"/>
        <v>#DIV/0!</v>
      </c>
      <c r="T226" s="67" t="e">
        <f t="shared" si="78"/>
        <v>#DIV/0!</v>
      </c>
      <c r="U226" s="64" t="e">
        <f t="shared" si="79"/>
        <v>#DIV/0!</v>
      </c>
      <c r="V226" s="68" t="e">
        <f t="shared" si="80"/>
        <v>#DIV/0!</v>
      </c>
    </row>
    <row r="227" spans="1:22" x14ac:dyDescent="0.3">
      <c r="A227" s="61" t="s">
        <v>524</v>
      </c>
      <c r="B227" s="62" t="s">
        <v>234</v>
      </c>
      <c r="C227" s="62" t="s">
        <v>235</v>
      </c>
      <c r="D227" s="62" t="s">
        <v>531</v>
      </c>
      <c r="E227" s="63" t="s">
        <v>300</v>
      </c>
      <c r="F227" s="62" t="s">
        <v>398</v>
      </c>
      <c r="G227" s="62" t="s">
        <v>207</v>
      </c>
      <c r="H227" s="62" t="s">
        <v>10</v>
      </c>
      <c r="I227" s="62" t="s">
        <v>163</v>
      </c>
      <c r="J227" s="62" t="s">
        <v>239</v>
      </c>
      <c r="K227" s="62" t="s">
        <v>234</v>
      </c>
      <c r="L227" s="64">
        <v>34</v>
      </c>
      <c r="M227" s="64">
        <f t="shared" si="75"/>
        <v>28</v>
      </c>
      <c r="N227" s="65">
        <f>prodnorm26</f>
        <v>0</v>
      </c>
      <c r="O227" s="66">
        <f>dagwerk26</f>
        <v>0</v>
      </c>
      <c r="P227" s="62" t="s">
        <v>38</v>
      </c>
      <c r="Q227" s="67">
        <f>uurtarief26</f>
        <v>0</v>
      </c>
      <c r="R227" s="64" t="e">
        <f t="shared" si="76"/>
        <v>#DIV/0!</v>
      </c>
      <c r="S227" s="64" t="e">
        <f t="shared" si="77"/>
        <v>#DIV/0!</v>
      </c>
      <c r="T227" s="67" t="e">
        <f t="shared" si="78"/>
        <v>#DIV/0!</v>
      </c>
      <c r="U227" s="64" t="e">
        <f t="shared" si="79"/>
        <v>#DIV/0!</v>
      </c>
      <c r="V227" s="68" t="e">
        <f t="shared" si="80"/>
        <v>#DIV/0!</v>
      </c>
    </row>
    <row r="228" spans="1:22" x14ac:dyDescent="0.3">
      <c r="A228" s="61" t="s">
        <v>524</v>
      </c>
      <c r="B228" s="62" t="s">
        <v>234</v>
      </c>
      <c r="C228" s="62" t="s">
        <v>235</v>
      </c>
      <c r="D228" s="62" t="s">
        <v>532</v>
      </c>
      <c r="E228" s="63" t="s">
        <v>263</v>
      </c>
      <c r="F228" s="62" t="s">
        <v>398</v>
      </c>
      <c r="G228" s="62" t="s">
        <v>162</v>
      </c>
      <c r="H228" s="62" t="s">
        <v>13</v>
      </c>
      <c r="I228" s="62" t="s">
        <v>163</v>
      </c>
      <c r="J228" s="62" t="s">
        <v>261</v>
      </c>
      <c r="K228" s="62" t="s">
        <v>234</v>
      </c>
      <c r="L228" s="64">
        <v>17</v>
      </c>
      <c r="M228" s="64">
        <f t="shared" si="75"/>
        <v>7</v>
      </c>
      <c r="N228" s="65">
        <f>prodnorm1</f>
        <v>0</v>
      </c>
      <c r="O228" s="66">
        <f>dagwerk1</f>
        <v>0</v>
      </c>
      <c r="P228" s="62" t="s">
        <v>38</v>
      </c>
      <c r="Q228" s="67">
        <f>uurtarief1</f>
        <v>0</v>
      </c>
      <c r="R228" s="64" t="e">
        <f t="shared" si="76"/>
        <v>#DIV/0!</v>
      </c>
      <c r="S228" s="64" t="e">
        <f t="shared" si="77"/>
        <v>#DIV/0!</v>
      </c>
      <c r="T228" s="67" t="e">
        <f t="shared" si="78"/>
        <v>#DIV/0!</v>
      </c>
      <c r="U228" s="64" t="e">
        <f t="shared" si="79"/>
        <v>#DIV/0!</v>
      </c>
      <c r="V228" s="68" t="e">
        <f t="shared" si="80"/>
        <v>#DIV/0!</v>
      </c>
    </row>
    <row r="229" spans="1:22" x14ac:dyDescent="0.3">
      <c r="A229" s="61" t="s">
        <v>524</v>
      </c>
      <c r="B229" s="62" t="s">
        <v>234</v>
      </c>
      <c r="C229" s="62" t="s">
        <v>235</v>
      </c>
      <c r="D229" s="62" t="s">
        <v>533</v>
      </c>
      <c r="E229" s="63" t="s">
        <v>534</v>
      </c>
      <c r="F229" s="62" t="s">
        <v>398</v>
      </c>
      <c r="G229" s="62" t="s">
        <v>183</v>
      </c>
      <c r="H229" s="62" t="s">
        <v>10</v>
      </c>
      <c r="I229" s="62" t="s">
        <v>163</v>
      </c>
      <c r="J229" s="62" t="s">
        <v>239</v>
      </c>
      <c r="K229" s="62" t="s">
        <v>234</v>
      </c>
      <c r="L229" s="64">
        <v>75</v>
      </c>
      <c r="M229" s="64">
        <f t="shared" si="75"/>
        <v>61.764705882352935</v>
      </c>
      <c r="N229" s="65">
        <f>prodnorm13</f>
        <v>0</v>
      </c>
      <c r="O229" s="66">
        <f>dagwerk13</f>
        <v>0</v>
      </c>
      <c r="P229" s="62" t="s">
        <v>38</v>
      </c>
      <c r="Q229" s="67">
        <f>uurtarief13</f>
        <v>0</v>
      </c>
      <c r="R229" s="64" t="e">
        <f t="shared" si="76"/>
        <v>#DIV/0!</v>
      </c>
      <c r="S229" s="64" t="e">
        <f t="shared" si="77"/>
        <v>#DIV/0!</v>
      </c>
      <c r="T229" s="67" t="e">
        <f t="shared" si="78"/>
        <v>#DIV/0!</v>
      </c>
      <c r="U229" s="64" t="e">
        <f t="shared" si="79"/>
        <v>#DIV/0!</v>
      </c>
      <c r="V229" s="68" t="e">
        <f t="shared" si="80"/>
        <v>#DIV/0!</v>
      </c>
    </row>
    <row r="230" spans="1:22" x14ac:dyDescent="0.3">
      <c r="A230" s="61" t="s">
        <v>524</v>
      </c>
      <c r="B230" s="62" t="s">
        <v>234</v>
      </c>
      <c r="C230" s="62" t="s">
        <v>235</v>
      </c>
      <c r="D230" s="62" t="s">
        <v>535</v>
      </c>
      <c r="E230" s="63" t="s">
        <v>536</v>
      </c>
      <c r="F230" s="62" t="s">
        <v>398</v>
      </c>
      <c r="G230" s="62" t="s">
        <v>183</v>
      </c>
      <c r="H230" s="62" t="s">
        <v>10</v>
      </c>
      <c r="I230" s="62" t="s">
        <v>163</v>
      </c>
      <c r="J230" s="62" t="s">
        <v>239</v>
      </c>
      <c r="K230" s="62" t="s">
        <v>234</v>
      </c>
      <c r="L230" s="64">
        <v>72</v>
      </c>
      <c r="M230" s="64">
        <f t="shared" si="75"/>
        <v>59.294117647058819</v>
      </c>
      <c r="N230" s="65">
        <f>prodnorm13</f>
        <v>0</v>
      </c>
      <c r="O230" s="66">
        <f>dagwerk13</f>
        <v>0</v>
      </c>
      <c r="P230" s="62" t="s">
        <v>38</v>
      </c>
      <c r="Q230" s="67">
        <f>uurtarief13</f>
        <v>0</v>
      </c>
      <c r="R230" s="64" t="e">
        <f t="shared" si="76"/>
        <v>#DIV/0!</v>
      </c>
      <c r="S230" s="64" t="e">
        <f t="shared" si="77"/>
        <v>#DIV/0!</v>
      </c>
      <c r="T230" s="67" t="e">
        <f t="shared" si="78"/>
        <v>#DIV/0!</v>
      </c>
      <c r="U230" s="64" t="e">
        <f t="shared" si="79"/>
        <v>#DIV/0!</v>
      </c>
      <c r="V230" s="68" t="e">
        <f t="shared" si="80"/>
        <v>#DIV/0!</v>
      </c>
    </row>
    <row r="231" spans="1:22" x14ac:dyDescent="0.3">
      <c r="A231" s="61" t="s">
        <v>524</v>
      </c>
      <c r="B231" s="62" t="s">
        <v>234</v>
      </c>
      <c r="C231" s="62" t="s">
        <v>235</v>
      </c>
      <c r="D231" s="62" t="s">
        <v>537</v>
      </c>
      <c r="E231" s="63" t="s">
        <v>538</v>
      </c>
      <c r="F231" s="62" t="s">
        <v>398</v>
      </c>
      <c r="G231" s="62" t="s">
        <v>179</v>
      </c>
      <c r="H231" s="62" t="s">
        <v>13</v>
      </c>
      <c r="I231" s="62" t="s">
        <v>163</v>
      </c>
      <c r="J231" s="62" t="s">
        <v>273</v>
      </c>
      <c r="K231" s="62" t="s">
        <v>234</v>
      </c>
      <c r="L231" s="64">
        <v>50</v>
      </c>
      <c r="M231" s="64">
        <f t="shared" si="75"/>
        <v>20.588235294117645</v>
      </c>
      <c r="N231" s="65">
        <f>prodnorm10</f>
        <v>0</v>
      </c>
      <c r="O231" s="66">
        <f>dagwerk10</f>
        <v>0</v>
      </c>
      <c r="P231" s="62" t="s">
        <v>38</v>
      </c>
      <c r="Q231" s="67">
        <f>uurtarief10</f>
        <v>0</v>
      </c>
      <c r="R231" s="64" t="e">
        <f t="shared" si="76"/>
        <v>#DIV/0!</v>
      </c>
      <c r="S231" s="64" t="e">
        <f t="shared" si="77"/>
        <v>#DIV/0!</v>
      </c>
      <c r="T231" s="67" t="e">
        <f t="shared" si="78"/>
        <v>#DIV/0!</v>
      </c>
      <c r="U231" s="64" t="e">
        <f t="shared" si="79"/>
        <v>#DIV/0!</v>
      </c>
      <c r="V231" s="68" t="e">
        <f t="shared" si="80"/>
        <v>#DIV/0!</v>
      </c>
    </row>
    <row r="232" spans="1:22" x14ac:dyDescent="0.3">
      <c r="A232" s="61" t="s">
        <v>524</v>
      </c>
      <c r="B232" s="62" t="s">
        <v>234</v>
      </c>
      <c r="C232" s="62" t="s">
        <v>235</v>
      </c>
      <c r="D232" s="62" t="s">
        <v>539</v>
      </c>
      <c r="E232" s="63" t="s">
        <v>538</v>
      </c>
      <c r="F232" s="62" t="s">
        <v>398</v>
      </c>
      <c r="G232" s="62" t="s">
        <v>179</v>
      </c>
      <c r="H232" s="62" t="s">
        <v>13</v>
      </c>
      <c r="I232" s="62" t="s">
        <v>163</v>
      </c>
      <c r="J232" s="62" t="s">
        <v>273</v>
      </c>
      <c r="K232" s="62" t="s">
        <v>234</v>
      </c>
      <c r="L232" s="64">
        <v>52</v>
      </c>
      <c r="M232" s="64">
        <f t="shared" si="75"/>
        <v>21.411764705882351</v>
      </c>
      <c r="N232" s="65">
        <f>prodnorm10</f>
        <v>0</v>
      </c>
      <c r="O232" s="66">
        <f>dagwerk10</f>
        <v>0</v>
      </c>
      <c r="P232" s="62" t="s">
        <v>38</v>
      </c>
      <c r="Q232" s="67">
        <f>uurtarief10</f>
        <v>0</v>
      </c>
      <c r="R232" s="64" t="e">
        <f t="shared" si="76"/>
        <v>#DIV/0!</v>
      </c>
      <c r="S232" s="64" t="e">
        <f t="shared" si="77"/>
        <v>#DIV/0!</v>
      </c>
      <c r="T232" s="67" t="e">
        <f t="shared" si="78"/>
        <v>#DIV/0!</v>
      </c>
      <c r="U232" s="64" t="e">
        <f t="shared" si="79"/>
        <v>#DIV/0!</v>
      </c>
      <c r="V232" s="68" t="e">
        <f t="shared" si="80"/>
        <v>#DIV/0!</v>
      </c>
    </row>
    <row r="233" spans="1:22" x14ac:dyDescent="0.3">
      <c r="A233" s="61" t="s">
        <v>524</v>
      </c>
      <c r="B233" s="62" t="s">
        <v>234</v>
      </c>
      <c r="C233" s="62" t="s">
        <v>235</v>
      </c>
      <c r="D233" s="62" t="s">
        <v>540</v>
      </c>
      <c r="E233" s="63" t="s">
        <v>538</v>
      </c>
      <c r="F233" s="62" t="s">
        <v>398</v>
      </c>
      <c r="G233" s="62" t="s">
        <v>179</v>
      </c>
      <c r="H233" s="62" t="s">
        <v>13</v>
      </c>
      <c r="I233" s="62" t="s">
        <v>163</v>
      </c>
      <c r="J233" s="62" t="s">
        <v>273</v>
      </c>
      <c r="K233" s="62" t="s">
        <v>234</v>
      </c>
      <c r="L233" s="64">
        <v>53</v>
      </c>
      <c r="M233" s="64">
        <f t="shared" si="75"/>
        <v>21.823529411764707</v>
      </c>
      <c r="N233" s="65">
        <f>prodnorm10</f>
        <v>0</v>
      </c>
      <c r="O233" s="66">
        <f>dagwerk10</f>
        <v>0</v>
      </c>
      <c r="P233" s="62" t="s">
        <v>38</v>
      </c>
      <c r="Q233" s="67">
        <f>uurtarief10</f>
        <v>0</v>
      </c>
      <c r="R233" s="64" t="e">
        <f t="shared" si="76"/>
        <v>#DIV/0!</v>
      </c>
      <c r="S233" s="64" t="e">
        <f t="shared" si="77"/>
        <v>#DIV/0!</v>
      </c>
      <c r="T233" s="67" t="e">
        <f t="shared" si="78"/>
        <v>#DIV/0!</v>
      </c>
      <c r="U233" s="64" t="e">
        <f t="shared" si="79"/>
        <v>#DIV/0!</v>
      </c>
      <c r="V233" s="68" t="e">
        <f t="shared" si="80"/>
        <v>#DIV/0!</v>
      </c>
    </row>
    <row r="234" spans="1:22" ht="28.8" x14ac:dyDescent="0.3">
      <c r="A234" s="61" t="s">
        <v>524</v>
      </c>
      <c r="B234" s="62" t="s">
        <v>234</v>
      </c>
      <c r="C234" s="62" t="s">
        <v>235</v>
      </c>
      <c r="D234" s="62" t="s">
        <v>541</v>
      </c>
      <c r="E234" s="63" t="s">
        <v>542</v>
      </c>
      <c r="F234" s="62" t="s">
        <v>398</v>
      </c>
      <c r="G234" s="62" t="s">
        <v>207</v>
      </c>
      <c r="H234" s="62" t="s">
        <v>10</v>
      </c>
      <c r="I234" s="62" t="s">
        <v>163</v>
      </c>
      <c r="J234" s="62" t="s">
        <v>239</v>
      </c>
      <c r="K234" s="62" t="s">
        <v>234</v>
      </c>
      <c r="L234" s="64">
        <v>186</v>
      </c>
      <c r="M234" s="64">
        <f t="shared" si="75"/>
        <v>153.17647058823528</v>
      </c>
      <c r="N234" s="65">
        <f>prodnorm26</f>
        <v>0</v>
      </c>
      <c r="O234" s="66">
        <f>dagwerk26</f>
        <v>0</v>
      </c>
      <c r="P234" s="62" t="s">
        <v>38</v>
      </c>
      <c r="Q234" s="67">
        <f>uurtarief26</f>
        <v>0</v>
      </c>
      <c r="R234" s="64" t="e">
        <f t="shared" si="76"/>
        <v>#DIV/0!</v>
      </c>
      <c r="S234" s="64" t="e">
        <f t="shared" si="77"/>
        <v>#DIV/0!</v>
      </c>
      <c r="T234" s="67" t="e">
        <f t="shared" si="78"/>
        <v>#DIV/0!</v>
      </c>
      <c r="U234" s="64" t="e">
        <f t="shared" si="79"/>
        <v>#DIV/0!</v>
      </c>
      <c r="V234" s="68" t="e">
        <f t="shared" si="80"/>
        <v>#DIV/0!</v>
      </c>
    </row>
    <row r="235" spans="1:22" x14ac:dyDescent="0.3">
      <c r="A235" s="61" t="s">
        <v>524</v>
      </c>
      <c r="B235" s="62" t="s">
        <v>234</v>
      </c>
      <c r="C235" s="62" t="s">
        <v>235</v>
      </c>
      <c r="D235" s="62" t="s">
        <v>543</v>
      </c>
      <c r="E235" s="63" t="s">
        <v>544</v>
      </c>
      <c r="F235" s="62" t="s">
        <v>398</v>
      </c>
      <c r="G235" s="62" t="s">
        <v>207</v>
      </c>
      <c r="H235" s="62" t="s">
        <v>10</v>
      </c>
      <c r="I235" s="62" t="s">
        <v>163</v>
      </c>
      <c r="J235" s="62" t="s">
        <v>239</v>
      </c>
      <c r="K235" s="62" t="s">
        <v>234</v>
      </c>
      <c r="L235" s="64">
        <v>61</v>
      </c>
      <c r="M235" s="64">
        <f t="shared" si="75"/>
        <v>50.235294117647058</v>
      </c>
      <c r="N235" s="65">
        <f>prodnorm26</f>
        <v>0</v>
      </c>
      <c r="O235" s="66">
        <f>dagwerk26</f>
        <v>0</v>
      </c>
      <c r="P235" s="62" t="s">
        <v>38</v>
      </c>
      <c r="Q235" s="67">
        <f>uurtarief26</f>
        <v>0</v>
      </c>
      <c r="R235" s="64" t="e">
        <f t="shared" si="76"/>
        <v>#DIV/0!</v>
      </c>
      <c r="S235" s="64" t="e">
        <f t="shared" si="77"/>
        <v>#DIV/0!</v>
      </c>
      <c r="T235" s="67" t="e">
        <f t="shared" si="78"/>
        <v>#DIV/0!</v>
      </c>
      <c r="U235" s="64" t="e">
        <f t="shared" si="79"/>
        <v>#DIV/0!</v>
      </c>
      <c r="V235" s="68" t="e">
        <f t="shared" si="80"/>
        <v>#DIV/0!</v>
      </c>
    </row>
    <row r="236" spans="1:22" x14ac:dyDescent="0.3">
      <c r="A236" s="61" t="s">
        <v>524</v>
      </c>
      <c r="B236" s="62" t="s">
        <v>234</v>
      </c>
      <c r="C236" s="62" t="s">
        <v>235</v>
      </c>
      <c r="D236" s="62" t="s">
        <v>545</v>
      </c>
      <c r="E236" s="63" t="s">
        <v>546</v>
      </c>
      <c r="F236" s="62" t="s">
        <v>398</v>
      </c>
      <c r="G236" s="62" t="s">
        <v>183</v>
      </c>
      <c r="H236" s="62" t="s">
        <v>10</v>
      </c>
      <c r="I236" s="62" t="s">
        <v>163</v>
      </c>
      <c r="J236" s="62" t="s">
        <v>239</v>
      </c>
      <c r="K236" s="62" t="s">
        <v>234</v>
      </c>
      <c r="L236" s="64">
        <v>76</v>
      </c>
      <c r="M236" s="64">
        <f t="shared" si="75"/>
        <v>62.588235294117645</v>
      </c>
      <c r="N236" s="65">
        <f>prodnorm13</f>
        <v>0</v>
      </c>
      <c r="O236" s="66">
        <f>dagwerk13</f>
        <v>0</v>
      </c>
      <c r="P236" s="62" t="s">
        <v>38</v>
      </c>
      <c r="Q236" s="67">
        <f>uurtarief13</f>
        <v>0</v>
      </c>
      <c r="R236" s="64" t="e">
        <f t="shared" si="76"/>
        <v>#DIV/0!</v>
      </c>
      <c r="S236" s="64" t="e">
        <f t="shared" si="77"/>
        <v>#DIV/0!</v>
      </c>
      <c r="T236" s="67" t="e">
        <f t="shared" si="78"/>
        <v>#DIV/0!</v>
      </c>
      <c r="U236" s="64" t="e">
        <f t="shared" si="79"/>
        <v>#DIV/0!</v>
      </c>
      <c r="V236" s="68" t="e">
        <f t="shared" si="80"/>
        <v>#DIV/0!</v>
      </c>
    </row>
    <row r="237" spans="1:22" ht="28.8" x14ac:dyDescent="0.3">
      <c r="A237" s="61" t="s">
        <v>524</v>
      </c>
      <c r="B237" s="62" t="s">
        <v>234</v>
      </c>
      <c r="C237" s="62" t="s">
        <v>235</v>
      </c>
      <c r="D237" s="62" t="s">
        <v>547</v>
      </c>
      <c r="E237" s="63" t="s">
        <v>548</v>
      </c>
      <c r="F237" s="62" t="s">
        <v>398</v>
      </c>
      <c r="G237" s="62" t="s">
        <v>207</v>
      </c>
      <c r="H237" s="62" t="s">
        <v>10</v>
      </c>
      <c r="I237" s="62" t="s">
        <v>163</v>
      </c>
      <c r="J237" s="62" t="s">
        <v>239</v>
      </c>
      <c r="K237" s="62" t="s">
        <v>234</v>
      </c>
      <c r="L237" s="64">
        <v>83</v>
      </c>
      <c r="M237" s="64">
        <f t="shared" si="75"/>
        <v>68.35294117647058</v>
      </c>
      <c r="N237" s="65">
        <f>prodnorm26</f>
        <v>0</v>
      </c>
      <c r="O237" s="66">
        <f>dagwerk26</f>
        <v>0</v>
      </c>
      <c r="P237" s="62" t="s">
        <v>38</v>
      </c>
      <c r="Q237" s="67">
        <f>uurtarief26</f>
        <v>0</v>
      </c>
      <c r="R237" s="64" t="e">
        <f t="shared" si="76"/>
        <v>#DIV/0!</v>
      </c>
      <c r="S237" s="64" t="e">
        <f t="shared" si="77"/>
        <v>#DIV/0!</v>
      </c>
      <c r="T237" s="67" t="e">
        <f t="shared" si="78"/>
        <v>#DIV/0!</v>
      </c>
      <c r="U237" s="64" t="e">
        <f t="shared" si="79"/>
        <v>#DIV/0!</v>
      </c>
      <c r="V237" s="68" t="e">
        <f t="shared" si="80"/>
        <v>#DIV/0!</v>
      </c>
    </row>
    <row r="238" spans="1:22" ht="28.8" x14ac:dyDescent="0.3">
      <c r="A238" s="61" t="s">
        <v>524</v>
      </c>
      <c r="B238" s="62" t="s">
        <v>234</v>
      </c>
      <c r="C238" s="62" t="s">
        <v>235</v>
      </c>
      <c r="D238" s="62" t="s">
        <v>549</v>
      </c>
      <c r="E238" s="63" t="s">
        <v>548</v>
      </c>
      <c r="F238" s="62" t="s">
        <v>398</v>
      </c>
      <c r="G238" s="62" t="s">
        <v>207</v>
      </c>
      <c r="H238" s="62" t="s">
        <v>10</v>
      </c>
      <c r="I238" s="62" t="s">
        <v>163</v>
      </c>
      <c r="J238" s="62" t="s">
        <v>239</v>
      </c>
      <c r="K238" s="62" t="s">
        <v>234</v>
      </c>
      <c r="L238" s="64">
        <v>211</v>
      </c>
      <c r="M238" s="64">
        <f t="shared" si="75"/>
        <v>173.76470588235293</v>
      </c>
      <c r="N238" s="65">
        <f>prodnorm26</f>
        <v>0</v>
      </c>
      <c r="O238" s="66">
        <f>dagwerk26</f>
        <v>0</v>
      </c>
      <c r="P238" s="62" t="s">
        <v>38</v>
      </c>
      <c r="Q238" s="67">
        <f>uurtarief26</f>
        <v>0</v>
      </c>
      <c r="R238" s="64" t="e">
        <f t="shared" si="76"/>
        <v>#DIV/0!</v>
      </c>
      <c r="S238" s="64" t="e">
        <f t="shared" si="77"/>
        <v>#DIV/0!</v>
      </c>
      <c r="T238" s="67" t="e">
        <f t="shared" si="78"/>
        <v>#DIV/0!</v>
      </c>
      <c r="U238" s="64" t="e">
        <f t="shared" si="79"/>
        <v>#DIV/0!</v>
      </c>
      <c r="V238" s="68" t="e">
        <f t="shared" si="80"/>
        <v>#DIV/0!</v>
      </c>
    </row>
    <row r="239" spans="1:22" x14ac:dyDescent="0.3">
      <c r="A239" s="61" t="s">
        <v>524</v>
      </c>
      <c r="B239" s="62" t="s">
        <v>234</v>
      </c>
      <c r="C239" s="62" t="s">
        <v>235</v>
      </c>
      <c r="D239" s="62" t="s">
        <v>550</v>
      </c>
      <c r="E239" s="63" t="s">
        <v>551</v>
      </c>
      <c r="F239" s="62" t="s">
        <v>398</v>
      </c>
      <c r="G239" s="62" t="s">
        <v>179</v>
      </c>
      <c r="H239" s="62" t="s">
        <v>13</v>
      </c>
      <c r="I239" s="62" t="s">
        <v>163</v>
      </c>
      <c r="J239" s="62" t="s">
        <v>273</v>
      </c>
      <c r="K239" s="62" t="s">
        <v>234</v>
      </c>
      <c r="L239" s="64">
        <v>52</v>
      </c>
      <c r="M239" s="64">
        <f t="shared" si="75"/>
        <v>21.411764705882351</v>
      </c>
      <c r="N239" s="65">
        <f>prodnorm10</f>
        <v>0</v>
      </c>
      <c r="O239" s="66">
        <f>dagwerk10</f>
        <v>0</v>
      </c>
      <c r="P239" s="62" t="s">
        <v>38</v>
      </c>
      <c r="Q239" s="67">
        <f>uurtarief10</f>
        <v>0</v>
      </c>
      <c r="R239" s="64" t="e">
        <f t="shared" si="76"/>
        <v>#DIV/0!</v>
      </c>
      <c r="S239" s="64" t="e">
        <f t="shared" si="77"/>
        <v>#DIV/0!</v>
      </c>
      <c r="T239" s="67" t="e">
        <f t="shared" si="78"/>
        <v>#DIV/0!</v>
      </c>
      <c r="U239" s="64" t="e">
        <f t="shared" si="79"/>
        <v>#DIV/0!</v>
      </c>
      <c r="V239" s="68" t="e">
        <f t="shared" si="80"/>
        <v>#DIV/0!</v>
      </c>
    </row>
    <row r="240" spans="1:22" x14ac:dyDescent="0.3">
      <c r="A240" s="61" t="s">
        <v>524</v>
      </c>
      <c r="B240" s="62" t="s">
        <v>234</v>
      </c>
      <c r="C240" s="62" t="s">
        <v>235</v>
      </c>
      <c r="D240" s="62" t="s">
        <v>552</v>
      </c>
      <c r="E240" s="63" t="s">
        <v>551</v>
      </c>
      <c r="F240" s="62" t="s">
        <v>398</v>
      </c>
      <c r="G240" s="62" t="s">
        <v>179</v>
      </c>
      <c r="H240" s="62" t="s">
        <v>13</v>
      </c>
      <c r="I240" s="62" t="s">
        <v>163</v>
      </c>
      <c r="J240" s="62" t="s">
        <v>273</v>
      </c>
      <c r="K240" s="62" t="s">
        <v>234</v>
      </c>
      <c r="L240" s="64">
        <v>52</v>
      </c>
      <c r="M240" s="64">
        <f t="shared" si="75"/>
        <v>21.411764705882351</v>
      </c>
      <c r="N240" s="65">
        <f>prodnorm10</f>
        <v>0</v>
      </c>
      <c r="O240" s="66">
        <f>dagwerk10</f>
        <v>0</v>
      </c>
      <c r="P240" s="62" t="s">
        <v>38</v>
      </c>
      <c r="Q240" s="67">
        <f>uurtarief10</f>
        <v>0</v>
      </c>
      <c r="R240" s="64" t="e">
        <f t="shared" si="76"/>
        <v>#DIV/0!</v>
      </c>
      <c r="S240" s="64" t="e">
        <f t="shared" si="77"/>
        <v>#DIV/0!</v>
      </c>
      <c r="T240" s="67" t="e">
        <f t="shared" si="78"/>
        <v>#DIV/0!</v>
      </c>
      <c r="U240" s="64" t="e">
        <f t="shared" si="79"/>
        <v>#DIV/0!</v>
      </c>
      <c r="V240" s="68" t="e">
        <f t="shared" si="80"/>
        <v>#DIV/0!</v>
      </c>
    </row>
    <row r="241" spans="1:22" x14ac:dyDescent="0.3">
      <c r="A241" s="61" t="s">
        <v>524</v>
      </c>
      <c r="B241" s="62" t="s">
        <v>234</v>
      </c>
      <c r="C241" s="62" t="s">
        <v>235</v>
      </c>
      <c r="D241" s="62" t="s">
        <v>553</v>
      </c>
      <c r="E241" s="63" t="s">
        <v>551</v>
      </c>
      <c r="F241" s="62" t="s">
        <v>398</v>
      </c>
      <c r="G241" s="62" t="s">
        <v>179</v>
      </c>
      <c r="H241" s="62" t="s">
        <v>13</v>
      </c>
      <c r="I241" s="62" t="s">
        <v>163</v>
      </c>
      <c r="J241" s="62" t="s">
        <v>273</v>
      </c>
      <c r="K241" s="62" t="s">
        <v>234</v>
      </c>
      <c r="L241" s="64">
        <v>52</v>
      </c>
      <c r="M241" s="64">
        <f t="shared" si="75"/>
        <v>21.411764705882351</v>
      </c>
      <c r="N241" s="65">
        <f>prodnorm10</f>
        <v>0</v>
      </c>
      <c r="O241" s="66">
        <f>dagwerk10</f>
        <v>0</v>
      </c>
      <c r="P241" s="62" t="s">
        <v>38</v>
      </c>
      <c r="Q241" s="67">
        <f>uurtarief10</f>
        <v>0</v>
      </c>
      <c r="R241" s="64" t="e">
        <f t="shared" si="76"/>
        <v>#DIV/0!</v>
      </c>
      <c r="S241" s="64" t="e">
        <f t="shared" si="77"/>
        <v>#DIV/0!</v>
      </c>
      <c r="T241" s="67" t="e">
        <f t="shared" si="78"/>
        <v>#DIV/0!</v>
      </c>
      <c r="U241" s="64" t="e">
        <f t="shared" si="79"/>
        <v>#DIV/0!</v>
      </c>
      <c r="V241" s="68" t="e">
        <f t="shared" si="80"/>
        <v>#DIV/0!</v>
      </c>
    </row>
    <row r="242" spans="1:22" x14ac:dyDescent="0.3">
      <c r="A242" s="61" t="s">
        <v>524</v>
      </c>
      <c r="B242" s="62" t="s">
        <v>234</v>
      </c>
      <c r="C242" s="62" t="s">
        <v>235</v>
      </c>
      <c r="D242" s="62" t="s">
        <v>554</v>
      </c>
      <c r="E242" s="63" t="s">
        <v>416</v>
      </c>
      <c r="F242" s="62" t="s">
        <v>398</v>
      </c>
      <c r="G242" s="62" t="s">
        <v>162</v>
      </c>
      <c r="H242" s="62" t="s">
        <v>13</v>
      </c>
      <c r="I242" s="62" t="s">
        <v>163</v>
      </c>
      <c r="J242" s="62" t="s">
        <v>261</v>
      </c>
      <c r="K242" s="62" t="s">
        <v>234</v>
      </c>
      <c r="L242" s="64">
        <v>15</v>
      </c>
      <c r="M242" s="64">
        <f t="shared" si="75"/>
        <v>6.1764705882352935</v>
      </c>
      <c r="N242" s="65">
        <f t="shared" ref="N242:N248" si="81">prodnorm1</f>
        <v>0</v>
      </c>
      <c r="O242" s="66">
        <f t="shared" ref="O242:O248" si="82">dagwerk1</f>
        <v>0</v>
      </c>
      <c r="P242" s="62" t="s">
        <v>38</v>
      </c>
      <c r="Q242" s="67">
        <f t="shared" ref="Q242:Q248" si="83">uurtarief1</f>
        <v>0</v>
      </c>
      <c r="R242" s="64" t="e">
        <f t="shared" si="76"/>
        <v>#DIV/0!</v>
      </c>
      <c r="S242" s="64" t="e">
        <f t="shared" si="77"/>
        <v>#DIV/0!</v>
      </c>
      <c r="T242" s="67" t="e">
        <f t="shared" si="78"/>
        <v>#DIV/0!</v>
      </c>
      <c r="U242" s="64" t="e">
        <f t="shared" si="79"/>
        <v>#DIV/0!</v>
      </c>
      <c r="V242" s="68" t="e">
        <f t="shared" si="80"/>
        <v>#DIV/0!</v>
      </c>
    </row>
    <row r="243" spans="1:22" x14ac:dyDescent="0.3">
      <c r="A243" s="61" t="s">
        <v>524</v>
      </c>
      <c r="B243" s="62" t="s">
        <v>234</v>
      </c>
      <c r="C243" s="62" t="s">
        <v>235</v>
      </c>
      <c r="D243" s="62" t="s">
        <v>555</v>
      </c>
      <c r="E243" s="63" t="s">
        <v>556</v>
      </c>
      <c r="F243" s="62" t="s">
        <v>398</v>
      </c>
      <c r="G243" s="62" t="s">
        <v>162</v>
      </c>
      <c r="H243" s="62" t="s">
        <v>13</v>
      </c>
      <c r="I243" s="62" t="s">
        <v>163</v>
      </c>
      <c r="J243" s="62" t="s">
        <v>261</v>
      </c>
      <c r="K243" s="62" t="s">
        <v>234</v>
      </c>
      <c r="L243" s="64">
        <v>26</v>
      </c>
      <c r="M243" s="64">
        <f t="shared" si="75"/>
        <v>10.705882352941176</v>
      </c>
      <c r="N243" s="65">
        <f t="shared" si="81"/>
        <v>0</v>
      </c>
      <c r="O243" s="66">
        <f t="shared" si="82"/>
        <v>0</v>
      </c>
      <c r="P243" s="62" t="s">
        <v>38</v>
      </c>
      <c r="Q243" s="67">
        <f t="shared" si="83"/>
        <v>0</v>
      </c>
      <c r="R243" s="64" t="e">
        <f t="shared" si="76"/>
        <v>#DIV/0!</v>
      </c>
      <c r="S243" s="64" t="e">
        <f t="shared" si="77"/>
        <v>#DIV/0!</v>
      </c>
      <c r="T243" s="67" t="e">
        <f t="shared" si="78"/>
        <v>#DIV/0!</v>
      </c>
      <c r="U243" s="64" t="e">
        <f t="shared" si="79"/>
        <v>#DIV/0!</v>
      </c>
      <c r="V243" s="68" t="e">
        <f t="shared" si="80"/>
        <v>#DIV/0!</v>
      </c>
    </row>
    <row r="244" spans="1:22" x14ac:dyDescent="0.3">
      <c r="A244" s="61" t="s">
        <v>524</v>
      </c>
      <c r="B244" s="62" t="s">
        <v>234</v>
      </c>
      <c r="C244" s="62" t="s">
        <v>235</v>
      </c>
      <c r="D244" s="62" t="s">
        <v>557</v>
      </c>
      <c r="E244" s="63" t="s">
        <v>556</v>
      </c>
      <c r="F244" s="62" t="s">
        <v>398</v>
      </c>
      <c r="G244" s="62" t="s">
        <v>162</v>
      </c>
      <c r="H244" s="62" t="s">
        <v>13</v>
      </c>
      <c r="I244" s="62" t="s">
        <v>163</v>
      </c>
      <c r="J244" s="62" t="s">
        <v>261</v>
      </c>
      <c r="K244" s="62" t="s">
        <v>234</v>
      </c>
      <c r="L244" s="64">
        <v>13</v>
      </c>
      <c r="M244" s="64">
        <f t="shared" si="75"/>
        <v>5.3529411764705879</v>
      </c>
      <c r="N244" s="65">
        <f t="shared" si="81"/>
        <v>0</v>
      </c>
      <c r="O244" s="66">
        <f t="shared" si="82"/>
        <v>0</v>
      </c>
      <c r="P244" s="62" t="s">
        <v>38</v>
      </c>
      <c r="Q244" s="67">
        <f t="shared" si="83"/>
        <v>0</v>
      </c>
      <c r="R244" s="64" t="e">
        <f t="shared" si="76"/>
        <v>#DIV/0!</v>
      </c>
      <c r="S244" s="64" t="e">
        <f t="shared" si="77"/>
        <v>#DIV/0!</v>
      </c>
      <c r="T244" s="67" t="e">
        <f t="shared" si="78"/>
        <v>#DIV/0!</v>
      </c>
      <c r="U244" s="64" t="e">
        <f t="shared" si="79"/>
        <v>#DIV/0!</v>
      </c>
      <c r="V244" s="68" t="e">
        <f t="shared" si="80"/>
        <v>#DIV/0!</v>
      </c>
    </row>
    <row r="245" spans="1:22" x14ac:dyDescent="0.3">
      <c r="A245" s="61" t="s">
        <v>524</v>
      </c>
      <c r="B245" s="62" t="s">
        <v>234</v>
      </c>
      <c r="C245" s="62" t="s">
        <v>235</v>
      </c>
      <c r="D245" s="62" t="s">
        <v>558</v>
      </c>
      <c r="E245" s="63" t="s">
        <v>559</v>
      </c>
      <c r="F245" s="62" t="s">
        <v>398</v>
      </c>
      <c r="G245" s="62" t="s">
        <v>162</v>
      </c>
      <c r="H245" s="62" t="s">
        <v>13</v>
      </c>
      <c r="I245" s="62" t="s">
        <v>163</v>
      </c>
      <c r="J245" s="62" t="s">
        <v>261</v>
      </c>
      <c r="K245" s="62" t="s">
        <v>234</v>
      </c>
      <c r="L245" s="64">
        <v>13</v>
      </c>
      <c r="M245" s="64">
        <f t="shared" si="75"/>
        <v>5.3529411764705879</v>
      </c>
      <c r="N245" s="65">
        <f t="shared" si="81"/>
        <v>0</v>
      </c>
      <c r="O245" s="66">
        <f t="shared" si="82"/>
        <v>0</v>
      </c>
      <c r="P245" s="62" t="s">
        <v>38</v>
      </c>
      <c r="Q245" s="67">
        <f t="shared" si="83"/>
        <v>0</v>
      </c>
      <c r="R245" s="64" t="e">
        <f t="shared" si="76"/>
        <v>#DIV/0!</v>
      </c>
      <c r="S245" s="64" t="e">
        <f t="shared" si="77"/>
        <v>#DIV/0!</v>
      </c>
      <c r="T245" s="67" t="e">
        <f t="shared" si="78"/>
        <v>#DIV/0!</v>
      </c>
      <c r="U245" s="64" t="e">
        <f t="shared" si="79"/>
        <v>#DIV/0!</v>
      </c>
      <c r="V245" s="68" t="e">
        <f t="shared" si="80"/>
        <v>#DIV/0!</v>
      </c>
    </row>
    <row r="246" spans="1:22" x14ac:dyDescent="0.3">
      <c r="A246" s="61" t="s">
        <v>524</v>
      </c>
      <c r="B246" s="62" t="s">
        <v>234</v>
      </c>
      <c r="C246" s="62" t="s">
        <v>235</v>
      </c>
      <c r="D246" s="62" t="s">
        <v>560</v>
      </c>
      <c r="E246" s="63" t="s">
        <v>556</v>
      </c>
      <c r="F246" s="62" t="s">
        <v>398</v>
      </c>
      <c r="G246" s="62" t="s">
        <v>162</v>
      </c>
      <c r="H246" s="62" t="s">
        <v>13</v>
      </c>
      <c r="I246" s="62" t="s">
        <v>163</v>
      </c>
      <c r="J246" s="62" t="s">
        <v>261</v>
      </c>
      <c r="K246" s="62" t="s">
        <v>234</v>
      </c>
      <c r="L246" s="64">
        <v>8</v>
      </c>
      <c r="M246" s="64">
        <f t="shared" si="75"/>
        <v>3.2941176470588234</v>
      </c>
      <c r="N246" s="65">
        <f t="shared" si="81"/>
        <v>0</v>
      </c>
      <c r="O246" s="66">
        <f t="shared" si="82"/>
        <v>0</v>
      </c>
      <c r="P246" s="62" t="s">
        <v>38</v>
      </c>
      <c r="Q246" s="67">
        <f t="shared" si="83"/>
        <v>0</v>
      </c>
      <c r="R246" s="64" t="e">
        <f t="shared" si="76"/>
        <v>#DIV/0!</v>
      </c>
      <c r="S246" s="64" t="e">
        <f t="shared" si="77"/>
        <v>#DIV/0!</v>
      </c>
      <c r="T246" s="67" t="e">
        <f t="shared" si="78"/>
        <v>#DIV/0!</v>
      </c>
      <c r="U246" s="64" t="e">
        <f t="shared" si="79"/>
        <v>#DIV/0!</v>
      </c>
      <c r="V246" s="68" t="e">
        <f t="shared" si="80"/>
        <v>#DIV/0!</v>
      </c>
    </row>
    <row r="247" spans="1:22" x14ac:dyDescent="0.3">
      <c r="A247" s="61" t="s">
        <v>524</v>
      </c>
      <c r="B247" s="62" t="s">
        <v>234</v>
      </c>
      <c r="C247" s="62" t="s">
        <v>235</v>
      </c>
      <c r="D247" s="62" t="s">
        <v>561</v>
      </c>
      <c r="E247" s="63" t="s">
        <v>556</v>
      </c>
      <c r="F247" s="62" t="s">
        <v>398</v>
      </c>
      <c r="G247" s="62" t="s">
        <v>162</v>
      </c>
      <c r="H247" s="62" t="s">
        <v>13</v>
      </c>
      <c r="I247" s="62" t="s">
        <v>163</v>
      </c>
      <c r="J247" s="62" t="s">
        <v>261</v>
      </c>
      <c r="K247" s="62" t="s">
        <v>234</v>
      </c>
      <c r="L247" s="64">
        <v>12</v>
      </c>
      <c r="M247" s="64">
        <f t="shared" si="75"/>
        <v>4.9411764705882355</v>
      </c>
      <c r="N247" s="65">
        <f t="shared" si="81"/>
        <v>0</v>
      </c>
      <c r="O247" s="66">
        <f t="shared" si="82"/>
        <v>0</v>
      </c>
      <c r="P247" s="62" t="s">
        <v>38</v>
      </c>
      <c r="Q247" s="67">
        <f t="shared" si="83"/>
        <v>0</v>
      </c>
      <c r="R247" s="64" t="e">
        <f t="shared" si="76"/>
        <v>#DIV/0!</v>
      </c>
      <c r="S247" s="64" t="e">
        <f t="shared" si="77"/>
        <v>#DIV/0!</v>
      </c>
      <c r="T247" s="67" t="e">
        <f t="shared" si="78"/>
        <v>#DIV/0!</v>
      </c>
      <c r="U247" s="64" t="e">
        <f t="shared" si="79"/>
        <v>#DIV/0!</v>
      </c>
      <c r="V247" s="68" t="e">
        <f t="shared" si="80"/>
        <v>#DIV/0!</v>
      </c>
    </row>
    <row r="248" spans="1:22" x14ac:dyDescent="0.3">
      <c r="A248" s="61" t="s">
        <v>524</v>
      </c>
      <c r="B248" s="62" t="s">
        <v>234</v>
      </c>
      <c r="C248" s="62" t="s">
        <v>235</v>
      </c>
      <c r="D248" s="62" t="s">
        <v>562</v>
      </c>
      <c r="E248" s="63" t="s">
        <v>556</v>
      </c>
      <c r="F248" s="62" t="s">
        <v>398</v>
      </c>
      <c r="G248" s="62" t="s">
        <v>162</v>
      </c>
      <c r="H248" s="62" t="s">
        <v>13</v>
      </c>
      <c r="I248" s="62" t="s">
        <v>163</v>
      </c>
      <c r="J248" s="62" t="s">
        <v>261</v>
      </c>
      <c r="K248" s="62" t="s">
        <v>234</v>
      </c>
      <c r="L248" s="64">
        <v>13</v>
      </c>
      <c r="M248" s="64">
        <f t="shared" si="75"/>
        <v>5.3529411764705879</v>
      </c>
      <c r="N248" s="65">
        <f t="shared" si="81"/>
        <v>0</v>
      </c>
      <c r="O248" s="66">
        <f t="shared" si="82"/>
        <v>0</v>
      </c>
      <c r="P248" s="62" t="s">
        <v>38</v>
      </c>
      <c r="Q248" s="67">
        <f t="shared" si="83"/>
        <v>0</v>
      </c>
      <c r="R248" s="64" t="e">
        <f t="shared" si="76"/>
        <v>#DIV/0!</v>
      </c>
      <c r="S248" s="64" t="e">
        <f t="shared" si="77"/>
        <v>#DIV/0!</v>
      </c>
      <c r="T248" s="67" t="e">
        <f t="shared" si="78"/>
        <v>#DIV/0!</v>
      </c>
      <c r="U248" s="64" t="e">
        <f t="shared" si="79"/>
        <v>#DIV/0!</v>
      </c>
      <c r="V248" s="68" t="e">
        <f t="shared" si="80"/>
        <v>#DIV/0!</v>
      </c>
    </row>
    <row r="249" spans="1:22" x14ac:dyDescent="0.3">
      <c r="A249" s="61" t="s">
        <v>524</v>
      </c>
      <c r="B249" s="62" t="s">
        <v>234</v>
      </c>
      <c r="C249" s="62" t="s">
        <v>235</v>
      </c>
      <c r="D249" s="62" t="s">
        <v>563</v>
      </c>
      <c r="E249" s="63" t="s">
        <v>388</v>
      </c>
      <c r="F249" s="62" t="s">
        <v>564</v>
      </c>
      <c r="G249" s="62" t="s">
        <v>203</v>
      </c>
      <c r="H249" s="62" t="s">
        <v>10</v>
      </c>
      <c r="I249" s="62" t="s">
        <v>163</v>
      </c>
      <c r="J249" s="62" t="s">
        <v>246</v>
      </c>
      <c r="K249" s="62" t="s">
        <v>234</v>
      </c>
      <c r="L249" s="64">
        <v>7</v>
      </c>
      <c r="M249" s="64">
        <f t="shared" si="75"/>
        <v>5.7647058823529411</v>
      </c>
      <c r="N249" s="65">
        <f t="shared" ref="N249:N254" si="84">prodnorm24</f>
        <v>0</v>
      </c>
      <c r="O249" s="66">
        <f t="shared" ref="O249:O254" si="85">dagwerk24</f>
        <v>0</v>
      </c>
      <c r="P249" s="62" t="s">
        <v>38</v>
      </c>
      <c r="Q249" s="67">
        <f t="shared" ref="Q249:Q254" si="86">uurtarief24</f>
        <v>0</v>
      </c>
      <c r="R249" s="64" t="e">
        <f t="shared" si="76"/>
        <v>#DIV/0!</v>
      </c>
      <c r="S249" s="64" t="e">
        <f t="shared" si="77"/>
        <v>#DIV/0!</v>
      </c>
      <c r="T249" s="67" t="e">
        <f t="shared" si="78"/>
        <v>#DIV/0!</v>
      </c>
      <c r="U249" s="64" t="e">
        <f t="shared" si="79"/>
        <v>#DIV/0!</v>
      </c>
      <c r="V249" s="68" t="e">
        <f t="shared" si="80"/>
        <v>#DIV/0!</v>
      </c>
    </row>
    <row r="250" spans="1:22" x14ac:dyDescent="0.3">
      <c r="A250" s="61" t="s">
        <v>524</v>
      </c>
      <c r="B250" s="62" t="s">
        <v>234</v>
      </c>
      <c r="C250" s="62" t="s">
        <v>235</v>
      </c>
      <c r="D250" s="62" t="s">
        <v>565</v>
      </c>
      <c r="E250" s="63" t="s">
        <v>566</v>
      </c>
      <c r="F250" s="62" t="s">
        <v>564</v>
      </c>
      <c r="G250" s="62" t="s">
        <v>203</v>
      </c>
      <c r="H250" s="62" t="s">
        <v>10</v>
      </c>
      <c r="I250" s="62" t="s">
        <v>163</v>
      </c>
      <c r="J250" s="62" t="s">
        <v>246</v>
      </c>
      <c r="K250" s="62" t="s">
        <v>234</v>
      </c>
      <c r="L250" s="64">
        <v>7</v>
      </c>
      <c r="M250" s="64">
        <f t="shared" si="75"/>
        <v>5.7647058823529411</v>
      </c>
      <c r="N250" s="65">
        <f t="shared" si="84"/>
        <v>0</v>
      </c>
      <c r="O250" s="66">
        <f t="shared" si="85"/>
        <v>0</v>
      </c>
      <c r="P250" s="62" t="s">
        <v>38</v>
      </c>
      <c r="Q250" s="67">
        <f t="shared" si="86"/>
        <v>0</v>
      </c>
      <c r="R250" s="64" t="e">
        <f t="shared" si="76"/>
        <v>#DIV/0!</v>
      </c>
      <c r="S250" s="64" t="e">
        <f t="shared" si="77"/>
        <v>#DIV/0!</v>
      </c>
      <c r="T250" s="67" t="e">
        <f t="shared" si="78"/>
        <v>#DIV/0!</v>
      </c>
      <c r="U250" s="64" t="e">
        <f t="shared" si="79"/>
        <v>#DIV/0!</v>
      </c>
      <c r="V250" s="68" t="e">
        <f t="shared" si="80"/>
        <v>#DIV/0!</v>
      </c>
    </row>
    <row r="251" spans="1:22" x14ac:dyDescent="0.3">
      <c r="A251" s="61" t="s">
        <v>524</v>
      </c>
      <c r="B251" s="62" t="s">
        <v>234</v>
      </c>
      <c r="C251" s="62" t="s">
        <v>235</v>
      </c>
      <c r="D251" s="62" t="s">
        <v>567</v>
      </c>
      <c r="E251" s="63" t="s">
        <v>568</v>
      </c>
      <c r="F251" s="62" t="s">
        <v>564</v>
      </c>
      <c r="G251" s="62" t="s">
        <v>203</v>
      </c>
      <c r="H251" s="62" t="s">
        <v>10</v>
      </c>
      <c r="I251" s="62" t="s">
        <v>163</v>
      </c>
      <c r="J251" s="62" t="s">
        <v>246</v>
      </c>
      <c r="K251" s="62" t="s">
        <v>234</v>
      </c>
      <c r="L251" s="64">
        <v>7</v>
      </c>
      <c r="M251" s="64">
        <f t="shared" si="75"/>
        <v>5.7647058823529411</v>
      </c>
      <c r="N251" s="65">
        <f t="shared" si="84"/>
        <v>0</v>
      </c>
      <c r="O251" s="66">
        <f t="shared" si="85"/>
        <v>0</v>
      </c>
      <c r="P251" s="62" t="s">
        <v>38</v>
      </c>
      <c r="Q251" s="67">
        <f t="shared" si="86"/>
        <v>0</v>
      </c>
      <c r="R251" s="64" t="e">
        <f t="shared" si="76"/>
        <v>#DIV/0!</v>
      </c>
      <c r="S251" s="64" t="e">
        <f t="shared" si="77"/>
        <v>#DIV/0!</v>
      </c>
      <c r="T251" s="67" t="e">
        <f t="shared" si="78"/>
        <v>#DIV/0!</v>
      </c>
      <c r="U251" s="64" t="e">
        <f t="shared" si="79"/>
        <v>#DIV/0!</v>
      </c>
      <c r="V251" s="68" t="e">
        <f t="shared" si="80"/>
        <v>#DIV/0!</v>
      </c>
    </row>
    <row r="252" spans="1:22" x14ac:dyDescent="0.3">
      <c r="A252" s="61" t="s">
        <v>524</v>
      </c>
      <c r="B252" s="62" t="s">
        <v>234</v>
      </c>
      <c r="C252" s="62" t="s">
        <v>235</v>
      </c>
      <c r="D252" s="62" t="s">
        <v>569</v>
      </c>
      <c r="E252" s="63" t="s">
        <v>568</v>
      </c>
      <c r="F252" s="62" t="s">
        <v>564</v>
      </c>
      <c r="G252" s="62" t="s">
        <v>203</v>
      </c>
      <c r="H252" s="62" t="s">
        <v>10</v>
      </c>
      <c r="I252" s="62" t="s">
        <v>163</v>
      </c>
      <c r="J252" s="62" t="s">
        <v>246</v>
      </c>
      <c r="K252" s="62" t="s">
        <v>234</v>
      </c>
      <c r="L252" s="64">
        <v>12</v>
      </c>
      <c r="M252" s="64">
        <f t="shared" si="75"/>
        <v>9.882352941176471</v>
      </c>
      <c r="N252" s="65">
        <f t="shared" si="84"/>
        <v>0</v>
      </c>
      <c r="O252" s="66">
        <f t="shared" si="85"/>
        <v>0</v>
      </c>
      <c r="P252" s="62" t="s">
        <v>38</v>
      </c>
      <c r="Q252" s="67">
        <f t="shared" si="86"/>
        <v>0</v>
      </c>
      <c r="R252" s="64" t="e">
        <f t="shared" si="76"/>
        <v>#DIV/0!</v>
      </c>
      <c r="S252" s="64" t="e">
        <f t="shared" si="77"/>
        <v>#DIV/0!</v>
      </c>
      <c r="T252" s="67" t="e">
        <f t="shared" si="78"/>
        <v>#DIV/0!</v>
      </c>
      <c r="U252" s="64" t="e">
        <f t="shared" si="79"/>
        <v>#DIV/0!</v>
      </c>
      <c r="V252" s="68" t="e">
        <f t="shared" si="80"/>
        <v>#DIV/0!</v>
      </c>
    </row>
    <row r="253" spans="1:22" x14ac:dyDescent="0.3">
      <c r="A253" s="61" t="s">
        <v>524</v>
      </c>
      <c r="B253" s="62" t="s">
        <v>234</v>
      </c>
      <c r="C253" s="62" t="s">
        <v>235</v>
      </c>
      <c r="D253" s="62" t="s">
        <v>570</v>
      </c>
      <c r="E253" s="63" t="s">
        <v>566</v>
      </c>
      <c r="F253" s="62" t="s">
        <v>564</v>
      </c>
      <c r="G253" s="62" t="s">
        <v>203</v>
      </c>
      <c r="H253" s="62" t="s">
        <v>10</v>
      </c>
      <c r="I253" s="62" t="s">
        <v>163</v>
      </c>
      <c r="J253" s="62" t="s">
        <v>246</v>
      </c>
      <c r="K253" s="62" t="s">
        <v>234</v>
      </c>
      <c r="L253" s="64">
        <v>12</v>
      </c>
      <c r="M253" s="64">
        <f t="shared" si="75"/>
        <v>9.882352941176471</v>
      </c>
      <c r="N253" s="65">
        <f t="shared" si="84"/>
        <v>0</v>
      </c>
      <c r="O253" s="66">
        <f t="shared" si="85"/>
        <v>0</v>
      </c>
      <c r="P253" s="62" t="s">
        <v>38</v>
      </c>
      <c r="Q253" s="67">
        <f t="shared" si="86"/>
        <v>0</v>
      </c>
      <c r="R253" s="64" t="e">
        <f t="shared" si="76"/>
        <v>#DIV/0!</v>
      </c>
      <c r="S253" s="64" t="e">
        <f t="shared" si="77"/>
        <v>#DIV/0!</v>
      </c>
      <c r="T253" s="67" t="e">
        <f t="shared" si="78"/>
        <v>#DIV/0!</v>
      </c>
      <c r="U253" s="64" t="e">
        <f t="shared" si="79"/>
        <v>#DIV/0!</v>
      </c>
      <c r="V253" s="68" t="e">
        <f t="shared" si="80"/>
        <v>#DIV/0!</v>
      </c>
    </row>
    <row r="254" spans="1:22" x14ac:dyDescent="0.3">
      <c r="A254" s="61" t="s">
        <v>524</v>
      </c>
      <c r="B254" s="62" t="s">
        <v>234</v>
      </c>
      <c r="C254" s="62" t="s">
        <v>235</v>
      </c>
      <c r="D254" s="62" t="s">
        <v>571</v>
      </c>
      <c r="E254" s="63" t="s">
        <v>572</v>
      </c>
      <c r="F254" s="62" t="s">
        <v>564</v>
      </c>
      <c r="G254" s="62" t="s">
        <v>203</v>
      </c>
      <c r="H254" s="62" t="s">
        <v>10</v>
      </c>
      <c r="I254" s="62" t="s">
        <v>163</v>
      </c>
      <c r="J254" s="62" t="s">
        <v>246</v>
      </c>
      <c r="K254" s="62" t="s">
        <v>234</v>
      </c>
      <c r="L254" s="64">
        <v>6</v>
      </c>
      <c r="M254" s="64">
        <f t="shared" si="75"/>
        <v>4.9411764705882355</v>
      </c>
      <c r="N254" s="65">
        <f t="shared" si="84"/>
        <v>0</v>
      </c>
      <c r="O254" s="66">
        <f t="shared" si="85"/>
        <v>0</v>
      </c>
      <c r="P254" s="62" t="s">
        <v>38</v>
      </c>
      <c r="Q254" s="67">
        <f t="shared" si="86"/>
        <v>0</v>
      </c>
      <c r="R254" s="64" t="e">
        <f t="shared" si="76"/>
        <v>#DIV/0!</v>
      </c>
      <c r="S254" s="64" t="e">
        <f t="shared" si="77"/>
        <v>#DIV/0!</v>
      </c>
      <c r="T254" s="67" t="e">
        <f t="shared" si="78"/>
        <v>#DIV/0!</v>
      </c>
      <c r="U254" s="64" t="e">
        <f t="shared" si="79"/>
        <v>#DIV/0!</v>
      </c>
      <c r="V254" s="68" t="e">
        <f t="shared" si="80"/>
        <v>#DIV/0!</v>
      </c>
    </row>
    <row r="255" spans="1:22" x14ac:dyDescent="0.3">
      <c r="A255" s="61" t="s">
        <v>524</v>
      </c>
      <c r="B255" s="62" t="s">
        <v>234</v>
      </c>
      <c r="C255" s="62" t="s">
        <v>341</v>
      </c>
      <c r="D255" s="62" t="s">
        <v>573</v>
      </c>
      <c r="E255" s="63" t="s">
        <v>241</v>
      </c>
      <c r="F255" s="62" t="s">
        <v>398</v>
      </c>
      <c r="G255" s="62" t="s">
        <v>217</v>
      </c>
      <c r="H255" s="62" t="s">
        <v>10</v>
      </c>
      <c r="I255" s="62" t="s">
        <v>163</v>
      </c>
      <c r="J255" s="62" t="s">
        <v>239</v>
      </c>
      <c r="K255" s="62" t="s">
        <v>234</v>
      </c>
      <c r="L255" s="64">
        <v>31</v>
      </c>
      <c r="M255" s="64">
        <f t="shared" ref="M255:M286" si="87">L255*VLOOKUP(H255,dagsoorttabel1,2,FALSE)</f>
        <v>25.52941176470588</v>
      </c>
      <c r="N255" s="65">
        <f>prodnorm31</f>
        <v>0</v>
      </c>
      <c r="O255" s="66">
        <f>dagwerk31</f>
        <v>0</v>
      </c>
      <c r="P255" s="62" t="s">
        <v>38</v>
      </c>
      <c r="Q255" s="67">
        <f>uurtarief31</f>
        <v>0</v>
      </c>
      <c r="R255" s="64" t="e">
        <f t="shared" ref="R255:R286" si="88">IF(ISBLANK(N255),0,M255/ROUND(N255,4))</f>
        <v>#DIV/0!</v>
      </c>
      <c r="S255" s="64" t="e">
        <f t="shared" ref="S255:S286" si="89">IF(ISBLANK(N255),0,R255*ROUND(O255,2))</f>
        <v>#DIV/0!</v>
      </c>
      <c r="T255" s="67" t="e">
        <f t="shared" ref="T255:T286" si="90">ROUND(Q255,2)*R255</f>
        <v>#DIV/0!</v>
      </c>
      <c r="U255" s="64" t="e">
        <f t="shared" ref="U255:U286" si="91">R255*dagenperjaar1</f>
        <v>#DIV/0!</v>
      </c>
      <c r="V255" s="68" t="e">
        <f t="shared" ref="V255:V286" si="92">U255*ROUND(Q255,2)</f>
        <v>#DIV/0!</v>
      </c>
    </row>
    <row r="256" spans="1:22" x14ac:dyDescent="0.3">
      <c r="A256" s="61" t="s">
        <v>524</v>
      </c>
      <c r="B256" s="62" t="s">
        <v>234</v>
      </c>
      <c r="C256" s="62" t="s">
        <v>341</v>
      </c>
      <c r="D256" s="62" t="s">
        <v>574</v>
      </c>
      <c r="E256" s="63" t="s">
        <v>241</v>
      </c>
      <c r="F256" s="62" t="s">
        <v>398</v>
      </c>
      <c r="G256" s="62" t="s">
        <v>217</v>
      </c>
      <c r="H256" s="62" t="s">
        <v>10</v>
      </c>
      <c r="I256" s="62" t="s">
        <v>163</v>
      </c>
      <c r="J256" s="62" t="s">
        <v>239</v>
      </c>
      <c r="K256" s="62" t="s">
        <v>234</v>
      </c>
      <c r="L256" s="64">
        <v>24</v>
      </c>
      <c r="M256" s="64">
        <f t="shared" si="87"/>
        <v>19.764705882352942</v>
      </c>
      <c r="N256" s="65">
        <f>prodnorm31</f>
        <v>0</v>
      </c>
      <c r="O256" s="66">
        <f>dagwerk31</f>
        <v>0</v>
      </c>
      <c r="P256" s="62" t="s">
        <v>38</v>
      </c>
      <c r="Q256" s="67">
        <f>uurtarief31</f>
        <v>0</v>
      </c>
      <c r="R256" s="64" t="e">
        <f t="shared" si="88"/>
        <v>#DIV/0!</v>
      </c>
      <c r="S256" s="64" t="e">
        <f t="shared" si="89"/>
        <v>#DIV/0!</v>
      </c>
      <c r="T256" s="67" t="e">
        <f t="shared" si="90"/>
        <v>#DIV/0!</v>
      </c>
      <c r="U256" s="64" t="e">
        <f t="shared" si="91"/>
        <v>#DIV/0!</v>
      </c>
      <c r="V256" s="68" t="e">
        <f t="shared" si="92"/>
        <v>#DIV/0!</v>
      </c>
    </row>
    <row r="257" spans="1:22" ht="28.8" x14ac:dyDescent="0.3">
      <c r="A257" s="61" t="s">
        <v>524</v>
      </c>
      <c r="B257" s="62" t="s">
        <v>234</v>
      </c>
      <c r="C257" s="62" t="s">
        <v>341</v>
      </c>
      <c r="D257" s="62" t="s">
        <v>575</v>
      </c>
      <c r="E257" s="63" t="s">
        <v>576</v>
      </c>
      <c r="F257" s="62" t="s">
        <v>398</v>
      </c>
      <c r="G257" s="62" t="s">
        <v>207</v>
      </c>
      <c r="H257" s="62" t="s">
        <v>10</v>
      </c>
      <c r="I257" s="62" t="s">
        <v>163</v>
      </c>
      <c r="J257" s="62" t="s">
        <v>239</v>
      </c>
      <c r="K257" s="62" t="s">
        <v>234</v>
      </c>
      <c r="L257" s="64">
        <v>506</v>
      </c>
      <c r="M257" s="64">
        <f t="shared" si="87"/>
        <v>416.70588235294116</v>
      </c>
      <c r="N257" s="65">
        <f>prodnorm26</f>
        <v>0</v>
      </c>
      <c r="O257" s="66">
        <f>dagwerk26</f>
        <v>0</v>
      </c>
      <c r="P257" s="62" t="s">
        <v>38</v>
      </c>
      <c r="Q257" s="67">
        <f>uurtarief26</f>
        <v>0</v>
      </c>
      <c r="R257" s="64" t="e">
        <f t="shared" si="88"/>
        <v>#DIV/0!</v>
      </c>
      <c r="S257" s="64" t="e">
        <f t="shared" si="89"/>
        <v>#DIV/0!</v>
      </c>
      <c r="T257" s="67" t="e">
        <f t="shared" si="90"/>
        <v>#DIV/0!</v>
      </c>
      <c r="U257" s="64" t="e">
        <f t="shared" si="91"/>
        <v>#DIV/0!</v>
      </c>
      <c r="V257" s="68" t="e">
        <f t="shared" si="92"/>
        <v>#DIV/0!</v>
      </c>
    </row>
    <row r="258" spans="1:22" x14ac:dyDescent="0.3">
      <c r="A258" s="61" t="s">
        <v>524</v>
      </c>
      <c r="B258" s="62" t="s">
        <v>234</v>
      </c>
      <c r="C258" s="62" t="s">
        <v>341</v>
      </c>
      <c r="D258" s="62" t="s">
        <v>577</v>
      </c>
      <c r="E258" s="63" t="s">
        <v>578</v>
      </c>
      <c r="F258" s="62" t="s">
        <v>398</v>
      </c>
      <c r="G258" s="62" t="s">
        <v>207</v>
      </c>
      <c r="H258" s="62" t="s">
        <v>10</v>
      </c>
      <c r="I258" s="62" t="s">
        <v>163</v>
      </c>
      <c r="J258" s="62" t="s">
        <v>239</v>
      </c>
      <c r="K258" s="62" t="s">
        <v>234</v>
      </c>
      <c r="L258" s="64">
        <v>96</v>
      </c>
      <c r="M258" s="64">
        <f t="shared" si="87"/>
        <v>79.058823529411768</v>
      </c>
      <c r="N258" s="65">
        <f>prodnorm26</f>
        <v>0</v>
      </c>
      <c r="O258" s="66">
        <f>dagwerk26</f>
        <v>0</v>
      </c>
      <c r="P258" s="62" t="s">
        <v>38</v>
      </c>
      <c r="Q258" s="67">
        <f>uurtarief26</f>
        <v>0</v>
      </c>
      <c r="R258" s="64" t="e">
        <f t="shared" si="88"/>
        <v>#DIV/0!</v>
      </c>
      <c r="S258" s="64" t="e">
        <f t="shared" si="89"/>
        <v>#DIV/0!</v>
      </c>
      <c r="T258" s="67" t="e">
        <f t="shared" si="90"/>
        <v>#DIV/0!</v>
      </c>
      <c r="U258" s="64" t="e">
        <f t="shared" si="91"/>
        <v>#DIV/0!</v>
      </c>
      <c r="V258" s="68" t="e">
        <f t="shared" si="92"/>
        <v>#DIV/0!</v>
      </c>
    </row>
    <row r="259" spans="1:22" x14ac:dyDescent="0.3">
      <c r="A259" s="61" t="s">
        <v>524</v>
      </c>
      <c r="B259" s="62" t="s">
        <v>234</v>
      </c>
      <c r="C259" s="62" t="s">
        <v>341</v>
      </c>
      <c r="D259" s="62" t="s">
        <v>579</v>
      </c>
      <c r="E259" s="63" t="s">
        <v>580</v>
      </c>
      <c r="F259" s="62" t="s">
        <v>398</v>
      </c>
      <c r="G259" s="62" t="s">
        <v>169</v>
      </c>
      <c r="H259" s="62" t="s">
        <v>10</v>
      </c>
      <c r="I259" s="62" t="s">
        <v>163</v>
      </c>
      <c r="J259" s="62" t="s">
        <v>239</v>
      </c>
      <c r="K259" s="62" t="s">
        <v>234</v>
      </c>
      <c r="L259" s="64">
        <v>131</v>
      </c>
      <c r="M259" s="64">
        <f t="shared" si="87"/>
        <v>107.88235294117646</v>
      </c>
      <c r="N259" s="65">
        <f>prodnorm4</f>
        <v>0</v>
      </c>
      <c r="O259" s="66">
        <f>dagwerk4</f>
        <v>0</v>
      </c>
      <c r="P259" s="62" t="s">
        <v>38</v>
      </c>
      <c r="Q259" s="67">
        <f>uurtarief4</f>
        <v>0</v>
      </c>
      <c r="R259" s="64" t="e">
        <f t="shared" si="88"/>
        <v>#DIV/0!</v>
      </c>
      <c r="S259" s="64" t="e">
        <f t="shared" si="89"/>
        <v>#DIV/0!</v>
      </c>
      <c r="T259" s="67" t="e">
        <f t="shared" si="90"/>
        <v>#DIV/0!</v>
      </c>
      <c r="U259" s="64" t="e">
        <f t="shared" si="91"/>
        <v>#DIV/0!</v>
      </c>
      <c r="V259" s="68" t="e">
        <f t="shared" si="92"/>
        <v>#DIV/0!</v>
      </c>
    </row>
    <row r="260" spans="1:22" x14ac:dyDescent="0.3">
      <c r="A260" s="61" t="s">
        <v>524</v>
      </c>
      <c r="B260" s="62" t="s">
        <v>234</v>
      </c>
      <c r="C260" s="62" t="s">
        <v>341</v>
      </c>
      <c r="D260" s="62" t="s">
        <v>581</v>
      </c>
      <c r="E260" s="63" t="s">
        <v>582</v>
      </c>
      <c r="F260" s="62" t="s">
        <v>398</v>
      </c>
      <c r="G260" s="62" t="s">
        <v>183</v>
      </c>
      <c r="H260" s="62" t="s">
        <v>10</v>
      </c>
      <c r="I260" s="62" t="s">
        <v>163</v>
      </c>
      <c r="J260" s="62" t="s">
        <v>239</v>
      </c>
      <c r="K260" s="62" t="s">
        <v>234</v>
      </c>
      <c r="L260" s="64">
        <v>26</v>
      </c>
      <c r="M260" s="64">
        <f t="shared" si="87"/>
        <v>21.411764705882351</v>
      </c>
      <c r="N260" s="65">
        <f>prodnorm13</f>
        <v>0</v>
      </c>
      <c r="O260" s="66">
        <f>dagwerk13</f>
        <v>0</v>
      </c>
      <c r="P260" s="62" t="s">
        <v>38</v>
      </c>
      <c r="Q260" s="67">
        <f>uurtarief13</f>
        <v>0</v>
      </c>
      <c r="R260" s="64" t="e">
        <f t="shared" si="88"/>
        <v>#DIV/0!</v>
      </c>
      <c r="S260" s="64" t="e">
        <f t="shared" si="89"/>
        <v>#DIV/0!</v>
      </c>
      <c r="T260" s="67" t="e">
        <f t="shared" si="90"/>
        <v>#DIV/0!</v>
      </c>
      <c r="U260" s="64" t="e">
        <f t="shared" si="91"/>
        <v>#DIV/0!</v>
      </c>
      <c r="V260" s="68" t="e">
        <f t="shared" si="92"/>
        <v>#DIV/0!</v>
      </c>
    </row>
    <row r="261" spans="1:22" ht="28.8" x14ac:dyDescent="0.3">
      <c r="A261" s="61" t="s">
        <v>524</v>
      </c>
      <c r="B261" s="62" t="s">
        <v>234</v>
      </c>
      <c r="C261" s="62" t="s">
        <v>341</v>
      </c>
      <c r="D261" s="62" t="s">
        <v>583</v>
      </c>
      <c r="E261" s="63" t="s">
        <v>584</v>
      </c>
      <c r="F261" s="62" t="s">
        <v>398</v>
      </c>
      <c r="G261" s="62" t="s">
        <v>207</v>
      </c>
      <c r="H261" s="62" t="s">
        <v>10</v>
      </c>
      <c r="I261" s="62" t="s">
        <v>163</v>
      </c>
      <c r="J261" s="62" t="s">
        <v>239</v>
      </c>
      <c r="K261" s="62" t="s">
        <v>234</v>
      </c>
      <c r="L261" s="64">
        <v>230</v>
      </c>
      <c r="M261" s="64">
        <f t="shared" si="87"/>
        <v>189.41176470588235</v>
      </c>
      <c r="N261" s="65">
        <f>prodnorm26</f>
        <v>0</v>
      </c>
      <c r="O261" s="66">
        <f>dagwerk26</f>
        <v>0</v>
      </c>
      <c r="P261" s="62" t="s">
        <v>38</v>
      </c>
      <c r="Q261" s="67">
        <f>uurtarief26</f>
        <v>0</v>
      </c>
      <c r="R261" s="64" t="e">
        <f t="shared" si="88"/>
        <v>#DIV/0!</v>
      </c>
      <c r="S261" s="64" t="e">
        <f t="shared" si="89"/>
        <v>#DIV/0!</v>
      </c>
      <c r="T261" s="67" t="e">
        <f t="shared" si="90"/>
        <v>#DIV/0!</v>
      </c>
      <c r="U261" s="64" t="e">
        <f t="shared" si="91"/>
        <v>#DIV/0!</v>
      </c>
      <c r="V261" s="68" t="e">
        <f t="shared" si="92"/>
        <v>#DIV/0!</v>
      </c>
    </row>
    <row r="262" spans="1:22" x14ac:dyDescent="0.3">
      <c r="A262" s="61" t="s">
        <v>524</v>
      </c>
      <c r="B262" s="62" t="s">
        <v>234</v>
      </c>
      <c r="C262" s="62" t="s">
        <v>341</v>
      </c>
      <c r="D262" s="62" t="s">
        <v>585</v>
      </c>
      <c r="E262" s="63" t="s">
        <v>538</v>
      </c>
      <c r="F262" s="62" t="s">
        <v>398</v>
      </c>
      <c r="G262" s="62" t="s">
        <v>179</v>
      </c>
      <c r="H262" s="62" t="s">
        <v>13</v>
      </c>
      <c r="I262" s="62" t="s">
        <v>163</v>
      </c>
      <c r="J262" s="62" t="s">
        <v>273</v>
      </c>
      <c r="K262" s="62" t="s">
        <v>234</v>
      </c>
      <c r="L262" s="64">
        <v>55</v>
      </c>
      <c r="M262" s="64">
        <f t="shared" si="87"/>
        <v>22.647058823529409</v>
      </c>
      <c r="N262" s="65">
        <f>prodnorm10</f>
        <v>0</v>
      </c>
      <c r="O262" s="66">
        <f>dagwerk10</f>
        <v>0</v>
      </c>
      <c r="P262" s="62" t="s">
        <v>38</v>
      </c>
      <c r="Q262" s="67">
        <f>uurtarief10</f>
        <v>0</v>
      </c>
      <c r="R262" s="64" t="e">
        <f t="shared" si="88"/>
        <v>#DIV/0!</v>
      </c>
      <c r="S262" s="64" t="e">
        <f t="shared" si="89"/>
        <v>#DIV/0!</v>
      </c>
      <c r="T262" s="67" t="e">
        <f t="shared" si="90"/>
        <v>#DIV/0!</v>
      </c>
      <c r="U262" s="64" t="e">
        <f t="shared" si="91"/>
        <v>#DIV/0!</v>
      </c>
      <c r="V262" s="68" t="e">
        <f t="shared" si="92"/>
        <v>#DIV/0!</v>
      </c>
    </row>
    <row r="263" spans="1:22" x14ac:dyDescent="0.3">
      <c r="A263" s="61" t="s">
        <v>524</v>
      </c>
      <c r="B263" s="62" t="s">
        <v>234</v>
      </c>
      <c r="C263" s="62" t="s">
        <v>341</v>
      </c>
      <c r="D263" s="62" t="s">
        <v>586</v>
      </c>
      <c r="E263" s="63" t="s">
        <v>538</v>
      </c>
      <c r="F263" s="62" t="s">
        <v>398</v>
      </c>
      <c r="G263" s="62" t="s">
        <v>179</v>
      </c>
      <c r="H263" s="62" t="s">
        <v>13</v>
      </c>
      <c r="I263" s="62" t="s">
        <v>163</v>
      </c>
      <c r="J263" s="62" t="s">
        <v>273</v>
      </c>
      <c r="K263" s="62" t="s">
        <v>234</v>
      </c>
      <c r="L263" s="64">
        <v>55</v>
      </c>
      <c r="M263" s="64">
        <f t="shared" si="87"/>
        <v>22.647058823529409</v>
      </c>
      <c r="N263" s="65">
        <f>prodnorm10</f>
        <v>0</v>
      </c>
      <c r="O263" s="66">
        <f>dagwerk10</f>
        <v>0</v>
      </c>
      <c r="P263" s="62" t="s">
        <v>38</v>
      </c>
      <c r="Q263" s="67">
        <f>uurtarief10</f>
        <v>0</v>
      </c>
      <c r="R263" s="64" t="e">
        <f t="shared" si="88"/>
        <v>#DIV/0!</v>
      </c>
      <c r="S263" s="64" t="e">
        <f t="shared" si="89"/>
        <v>#DIV/0!</v>
      </c>
      <c r="T263" s="67" t="e">
        <f t="shared" si="90"/>
        <v>#DIV/0!</v>
      </c>
      <c r="U263" s="64" t="e">
        <f t="shared" si="91"/>
        <v>#DIV/0!</v>
      </c>
      <c r="V263" s="68" t="e">
        <f t="shared" si="92"/>
        <v>#DIV/0!</v>
      </c>
    </row>
    <row r="264" spans="1:22" x14ac:dyDescent="0.3">
      <c r="A264" s="61" t="s">
        <v>524</v>
      </c>
      <c r="B264" s="62" t="s">
        <v>234</v>
      </c>
      <c r="C264" s="62" t="s">
        <v>341</v>
      </c>
      <c r="D264" s="62" t="s">
        <v>587</v>
      </c>
      <c r="E264" s="63" t="s">
        <v>538</v>
      </c>
      <c r="F264" s="62" t="s">
        <v>398</v>
      </c>
      <c r="G264" s="62" t="s">
        <v>179</v>
      </c>
      <c r="H264" s="62" t="s">
        <v>13</v>
      </c>
      <c r="I264" s="62" t="s">
        <v>163</v>
      </c>
      <c r="J264" s="62" t="s">
        <v>273</v>
      </c>
      <c r="K264" s="62" t="s">
        <v>234</v>
      </c>
      <c r="L264" s="64">
        <v>59</v>
      </c>
      <c r="M264" s="64">
        <f t="shared" si="87"/>
        <v>24.294117647058822</v>
      </c>
      <c r="N264" s="65">
        <f>prodnorm10</f>
        <v>0</v>
      </c>
      <c r="O264" s="66">
        <f>dagwerk10</f>
        <v>0</v>
      </c>
      <c r="P264" s="62" t="s">
        <v>38</v>
      </c>
      <c r="Q264" s="67">
        <f>uurtarief10</f>
        <v>0</v>
      </c>
      <c r="R264" s="64" t="e">
        <f t="shared" si="88"/>
        <v>#DIV/0!</v>
      </c>
      <c r="S264" s="64" t="e">
        <f t="shared" si="89"/>
        <v>#DIV/0!</v>
      </c>
      <c r="T264" s="67" t="e">
        <f t="shared" si="90"/>
        <v>#DIV/0!</v>
      </c>
      <c r="U264" s="64" t="e">
        <f t="shared" si="91"/>
        <v>#DIV/0!</v>
      </c>
      <c r="V264" s="68" t="e">
        <f t="shared" si="92"/>
        <v>#DIV/0!</v>
      </c>
    </row>
    <row r="265" spans="1:22" x14ac:dyDescent="0.3">
      <c r="A265" s="61" t="s">
        <v>524</v>
      </c>
      <c r="B265" s="62" t="s">
        <v>234</v>
      </c>
      <c r="C265" s="62" t="s">
        <v>341</v>
      </c>
      <c r="D265" s="62" t="s">
        <v>588</v>
      </c>
      <c r="E265" s="63" t="s">
        <v>538</v>
      </c>
      <c r="F265" s="62" t="s">
        <v>398</v>
      </c>
      <c r="G265" s="62" t="s">
        <v>179</v>
      </c>
      <c r="H265" s="62" t="s">
        <v>13</v>
      </c>
      <c r="I265" s="62" t="s">
        <v>163</v>
      </c>
      <c r="J265" s="62" t="s">
        <v>273</v>
      </c>
      <c r="K265" s="62" t="s">
        <v>234</v>
      </c>
      <c r="L265" s="64">
        <v>55</v>
      </c>
      <c r="M265" s="64">
        <f t="shared" si="87"/>
        <v>22.647058823529409</v>
      </c>
      <c r="N265" s="65">
        <f>prodnorm10</f>
        <v>0</v>
      </c>
      <c r="O265" s="66">
        <f>dagwerk10</f>
        <v>0</v>
      </c>
      <c r="P265" s="62" t="s">
        <v>38</v>
      </c>
      <c r="Q265" s="67">
        <f>uurtarief10</f>
        <v>0</v>
      </c>
      <c r="R265" s="64" t="e">
        <f t="shared" si="88"/>
        <v>#DIV/0!</v>
      </c>
      <c r="S265" s="64" t="e">
        <f t="shared" si="89"/>
        <v>#DIV/0!</v>
      </c>
      <c r="T265" s="67" t="e">
        <f t="shared" si="90"/>
        <v>#DIV/0!</v>
      </c>
      <c r="U265" s="64" t="e">
        <f t="shared" si="91"/>
        <v>#DIV/0!</v>
      </c>
      <c r="V265" s="68" t="e">
        <f t="shared" si="92"/>
        <v>#DIV/0!</v>
      </c>
    </row>
    <row r="266" spans="1:22" x14ac:dyDescent="0.3">
      <c r="A266" s="61" t="s">
        <v>524</v>
      </c>
      <c r="B266" s="62" t="s">
        <v>234</v>
      </c>
      <c r="C266" s="62" t="s">
        <v>341</v>
      </c>
      <c r="D266" s="62" t="s">
        <v>589</v>
      </c>
      <c r="E266" s="63" t="s">
        <v>590</v>
      </c>
      <c r="F266" s="62" t="s">
        <v>398</v>
      </c>
      <c r="G266" s="62" t="s">
        <v>207</v>
      </c>
      <c r="H266" s="62" t="s">
        <v>10</v>
      </c>
      <c r="I266" s="62" t="s">
        <v>163</v>
      </c>
      <c r="J266" s="62" t="s">
        <v>239</v>
      </c>
      <c r="K266" s="62" t="s">
        <v>234</v>
      </c>
      <c r="L266" s="64">
        <v>53</v>
      </c>
      <c r="M266" s="64">
        <f t="shared" si="87"/>
        <v>43.647058823529413</v>
      </c>
      <c r="N266" s="65">
        <f>prodnorm26</f>
        <v>0</v>
      </c>
      <c r="O266" s="66">
        <f>dagwerk26</f>
        <v>0</v>
      </c>
      <c r="P266" s="62" t="s">
        <v>38</v>
      </c>
      <c r="Q266" s="67">
        <f>uurtarief26</f>
        <v>0</v>
      </c>
      <c r="R266" s="64" t="e">
        <f t="shared" si="88"/>
        <v>#DIV/0!</v>
      </c>
      <c r="S266" s="64" t="e">
        <f t="shared" si="89"/>
        <v>#DIV/0!</v>
      </c>
      <c r="T266" s="67" t="e">
        <f t="shared" si="90"/>
        <v>#DIV/0!</v>
      </c>
      <c r="U266" s="64" t="e">
        <f t="shared" si="91"/>
        <v>#DIV/0!</v>
      </c>
      <c r="V266" s="68" t="e">
        <f t="shared" si="92"/>
        <v>#DIV/0!</v>
      </c>
    </row>
    <row r="267" spans="1:22" x14ac:dyDescent="0.3">
      <c r="A267" s="61" t="s">
        <v>524</v>
      </c>
      <c r="B267" s="62" t="s">
        <v>234</v>
      </c>
      <c r="C267" s="62" t="s">
        <v>341</v>
      </c>
      <c r="D267" s="62" t="s">
        <v>591</v>
      </c>
      <c r="E267" s="63" t="s">
        <v>592</v>
      </c>
      <c r="F267" s="62" t="s">
        <v>398</v>
      </c>
      <c r="G267" s="62" t="s">
        <v>207</v>
      </c>
      <c r="H267" s="62" t="s">
        <v>10</v>
      </c>
      <c r="I267" s="62" t="s">
        <v>163</v>
      </c>
      <c r="J267" s="62" t="s">
        <v>239</v>
      </c>
      <c r="K267" s="62" t="s">
        <v>234</v>
      </c>
      <c r="L267" s="64">
        <v>245</v>
      </c>
      <c r="M267" s="64">
        <f t="shared" si="87"/>
        <v>201.76470588235293</v>
      </c>
      <c r="N267" s="65">
        <f>prodnorm26</f>
        <v>0</v>
      </c>
      <c r="O267" s="66">
        <f>dagwerk26</f>
        <v>0</v>
      </c>
      <c r="P267" s="62" t="s">
        <v>38</v>
      </c>
      <c r="Q267" s="67">
        <f>uurtarief26</f>
        <v>0</v>
      </c>
      <c r="R267" s="64" t="e">
        <f t="shared" si="88"/>
        <v>#DIV/0!</v>
      </c>
      <c r="S267" s="64" t="e">
        <f t="shared" si="89"/>
        <v>#DIV/0!</v>
      </c>
      <c r="T267" s="67" t="e">
        <f t="shared" si="90"/>
        <v>#DIV/0!</v>
      </c>
      <c r="U267" s="64" t="e">
        <f t="shared" si="91"/>
        <v>#DIV/0!</v>
      </c>
      <c r="V267" s="68" t="e">
        <f t="shared" si="92"/>
        <v>#DIV/0!</v>
      </c>
    </row>
    <row r="268" spans="1:22" x14ac:dyDescent="0.3">
      <c r="A268" s="61" t="s">
        <v>524</v>
      </c>
      <c r="B268" s="62" t="s">
        <v>234</v>
      </c>
      <c r="C268" s="62" t="s">
        <v>341</v>
      </c>
      <c r="D268" s="62" t="s">
        <v>593</v>
      </c>
      <c r="E268" s="63" t="s">
        <v>594</v>
      </c>
      <c r="F268" s="62" t="s">
        <v>398</v>
      </c>
      <c r="G268" s="62" t="s">
        <v>179</v>
      </c>
      <c r="H268" s="62" t="s">
        <v>13</v>
      </c>
      <c r="I268" s="62" t="s">
        <v>163</v>
      </c>
      <c r="J268" s="62" t="s">
        <v>273</v>
      </c>
      <c r="K268" s="62" t="s">
        <v>234</v>
      </c>
      <c r="L268" s="64">
        <v>55</v>
      </c>
      <c r="M268" s="64">
        <f t="shared" si="87"/>
        <v>22.647058823529409</v>
      </c>
      <c r="N268" s="65">
        <f t="shared" ref="N268:N279" si="93">prodnorm10</f>
        <v>0</v>
      </c>
      <c r="O268" s="66">
        <f t="shared" ref="O268:O279" si="94">dagwerk10</f>
        <v>0</v>
      </c>
      <c r="P268" s="62" t="s">
        <v>38</v>
      </c>
      <c r="Q268" s="67">
        <f t="shared" ref="Q268:Q279" si="95">uurtarief10</f>
        <v>0</v>
      </c>
      <c r="R268" s="64" t="e">
        <f t="shared" si="88"/>
        <v>#DIV/0!</v>
      </c>
      <c r="S268" s="64" t="e">
        <f t="shared" si="89"/>
        <v>#DIV/0!</v>
      </c>
      <c r="T268" s="67" t="e">
        <f t="shared" si="90"/>
        <v>#DIV/0!</v>
      </c>
      <c r="U268" s="64" t="e">
        <f t="shared" si="91"/>
        <v>#DIV/0!</v>
      </c>
      <c r="V268" s="68" t="e">
        <f t="shared" si="92"/>
        <v>#DIV/0!</v>
      </c>
    </row>
    <row r="269" spans="1:22" x14ac:dyDescent="0.3">
      <c r="A269" s="61" t="s">
        <v>524</v>
      </c>
      <c r="B269" s="62" t="s">
        <v>234</v>
      </c>
      <c r="C269" s="62" t="s">
        <v>341</v>
      </c>
      <c r="D269" s="62" t="s">
        <v>595</v>
      </c>
      <c r="E269" s="63" t="s">
        <v>594</v>
      </c>
      <c r="F269" s="62" t="s">
        <v>398</v>
      </c>
      <c r="G269" s="62" t="s">
        <v>179</v>
      </c>
      <c r="H269" s="62" t="s">
        <v>13</v>
      </c>
      <c r="I269" s="62" t="s">
        <v>163</v>
      </c>
      <c r="J269" s="62" t="s">
        <v>273</v>
      </c>
      <c r="K269" s="62" t="s">
        <v>234</v>
      </c>
      <c r="L269" s="64">
        <v>55</v>
      </c>
      <c r="M269" s="64">
        <f t="shared" si="87"/>
        <v>22.647058823529409</v>
      </c>
      <c r="N269" s="65">
        <f t="shared" si="93"/>
        <v>0</v>
      </c>
      <c r="O269" s="66">
        <f t="shared" si="94"/>
        <v>0</v>
      </c>
      <c r="P269" s="62" t="s">
        <v>38</v>
      </c>
      <c r="Q269" s="67">
        <f t="shared" si="95"/>
        <v>0</v>
      </c>
      <c r="R269" s="64" t="e">
        <f t="shared" si="88"/>
        <v>#DIV/0!</v>
      </c>
      <c r="S269" s="64" t="e">
        <f t="shared" si="89"/>
        <v>#DIV/0!</v>
      </c>
      <c r="T269" s="67" t="e">
        <f t="shared" si="90"/>
        <v>#DIV/0!</v>
      </c>
      <c r="U269" s="64" t="e">
        <f t="shared" si="91"/>
        <v>#DIV/0!</v>
      </c>
      <c r="V269" s="68" t="e">
        <f t="shared" si="92"/>
        <v>#DIV/0!</v>
      </c>
    </row>
    <row r="270" spans="1:22" x14ac:dyDescent="0.3">
      <c r="A270" s="61" t="s">
        <v>524</v>
      </c>
      <c r="B270" s="62" t="s">
        <v>234</v>
      </c>
      <c r="C270" s="62" t="s">
        <v>341</v>
      </c>
      <c r="D270" s="62" t="s">
        <v>596</v>
      </c>
      <c r="E270" s="63" t="s">
        <v>594</v>
      </c>
      <c r="F270" s="62" t="s">
        <v>398</v>
      </c>
      <c r="G270" s="62" t="s">
        <v>179</v>
      </c>
      <c r="H270" s="62" t="s">
        <v>13</v>
      </c>
      <c r="I270" s="62" t="s">
        <v>163</v>
      </c>
      <c r="J270" s="62" t="s">
        <v>273</v>
      </c>
      <c r="K270" s="62" t="s">
        <v>234</v>
      </c>
      <c r="L270" s="64">
        <v>55</v>
      </c>
      <c r="M270" s="64">
        <f t="shared" si="87"/>
        <v>22.647058823529409</v>
      </c>
      <c r="N270" s="65">
        <f t="shared" si="93"/>
        <v>0</v>
      </c>
      <c r="O270" s="66">
        <f t="shared" si="94"/>
        <v>0</v>
      </c>
      <c r="P270" s="62" t="s">
        <v>38</v>
      </c>
      <c r="Q270" s="67">
        <f t="shared" si="95"/>
        <v>0</v>
      </c>
      <c r="R270" s="64" t="e">
        <f t="shared" si="88"/>
        <v>#DIV/0!</v>
      </c>
      <c r="S270" s="64" t="e">
        <f t="shared" si="89"/>
        <v>#DIV/0!</v>
      </c>
      <c r="T270" s="67" t="e">
        <f t="shared" si="90"/>
        <v>#DIV/0!</v>
      </c>
      <c r="U270" s="64" t="e">
        <f t="shared" si="91"/>
        <v>#DIV/0!</v>
      </c>
      <c r="V270" s="68" t="e">
        <f t="shared" si="92"/>
        <v>#DIV/0!</v>
      </c>
    </row>
    <row r="271" spans="1:22" x14ac:dyDescent="0.3">
      <c r="A271" s="61" t="s">
        <v>524</v>
      </c>
      <c r="B271" s="62" t="s">
        <v>234</v>
      </c>
      <c r="C271" s="62" t="s">
        <v>341</v>
      </c>
      <c r="D271" s="62" t="s">
        <v>597</v>
      </c>
      <c r="E271" s="63" t="s">
        <v>594</v>
      </c>
      <c r="F271" s="62" t="s">
        <v>398</v>
      </c>
      <c r="G271" s="62" t="s">
        <v>179</v>
      </c>
      <c r="H271" s="62" t="s">
        <v>13</v>
      </c>
      <c r="I271" s="62" t="s">
        <v>163</v>
      </c>
      <c r="J271" s="62" t="s">
        <v>273</v>
      </c>
      <c r="K271" s="62" t="s">
        <v>234</v>
      </c>
      <c r="L271" s="64">
        <v>59</v>
      </c>
      <c r="M271" s="64">
        <f t="shared" si="87"/>
        <v>24.294117647058822</v>
      </c>
      <c r="N271" s="65">
        <f t="shared" si="93"/>
        <v>0</v>
      </c>
      <c r="O271" s="66">
        <f t="shared" si="94"/>
        <v>0</v>
      </c>
      <c r="P271" s="62" t="s">
        <v>38</v>
      </c>
      <c r="Q271" s="67">
        <f t="shared" si="95"/>
        <v>0</v>
      </c>
      <c r="R271" s="64" t="e">
        <f t="shared" si="88"/>
        <v>#DIV/0!</v>
      </c>
      <c r="S271" s="64" t="e">
        <f t="shared" si="89"/>
        <v>#DIV/0!</v>
      </c>
      <c r="T271" s="67" t="e">
        <f t="shared" si="90"/>
        <v>#DIV/0!</v>
      </c>
      <c r="U271" s="64" t="e">
        <f t="shared" si="91"/>
        <v>#DIV/0!</v>
      </c>
      <c r="V271" s="68" t="e">
        <f t="shared" si="92"/>
        <v>#DIV/0!</v>
      </c>
    </row>
    <row r="272" spans="1:22" x14ac:dyDescent="0.3">
      <c r="A272" s="61" t="s">
        <v>524</v>
      </c>
      <c r="B272" s="62" t="s">
        <v>234</v>
      </c>
      <c r="C272" s="62" t="s">
        <v>341</v>
      </c>
      <c r="D272" s="62" t="s">
        <v>598</v>
      </c>
      <c r="E272" s="63" t="s">
        <v>594</v>
      </c>
      <c r="F272" s="62" t="s">
        <v>398</v>
      </c>
      <c r="G272" s="62" t="s">
        <v>179</v>
      </c>
      <c r="H272" s="62" t="s">
        <v>13</v>
      </c>
      <c r="I272" s="62" t="s">
        <v>163</v>
      </c>
      <c r="J272" s="62" t="s">
        <v>273</v>
      </c>
      <c r="K272" s="62" t="s">
        <v>234</v>
      </c>
      <c r="L272" s="64">
        <v>52</v>
      </c>
      <c r="M272" s="64">
        <f t="shared" si="87"/>
        <v>21.411764705882351</v>
      </c>
      <c r="N272" s="65">
        <f t="shared" si="93"/>
        <v>0</v>
      </c>
      <c r="O272" s="66">
        <f t="shared" si="94"/>
        <v>0</v>
      </c>
      <c r="P272" s="62" t="s">
        <v>38</v>
      </c>
      <c r="Q272" s="67">
        <f t="shared" si="95"/>
        <v>0</v>
      </c>
      <c r="R272" s="64" t="e">
        <f t="shared" si="88"/>
        <v>#DIV/0!</v>
      </c>
      <c r="S272" s="64" t="e">
        <f t="shared" si="89"/>
        <v>#DIV/0!</v>
      </c>
      <c r="T272" s="67" t="e">
        <f t="shared" si="90"/>
        <v>#DIV/0!</v>
      </c>
      <c r="U272" s="64" t="e">
        <f t="shared" si="91"/>
        <v>#DIV/0!</v>
      </c>
      <c r="V272" s="68" t="e">
        <f t="shared" si="92"/>
        <v>#DIV/0!</v>
      </c>
    </row>
    <row r="273" spans="1:22" x14ac:dyDescent="0.3">
      <c r="A273" s="61" t="s">
        <v>524</v>
      </c>
      <c r="B273" s="62" t="s">
        <v>234</v>
      </c>
      <c r="C273" s="62" t="s">
        <v>341</v>
      </c>
      <c r="D273" s="62" t="s">
        <v>599</v>
      </c>
      <c r="E273" s="63" t="s">
        <v>600</v>
      </c>
      <c r="F273" s="62" t="s">
        <v>398</v>
      </c>
      <c r="G273" s="62" t="s">
        <v>179</v>
      </c>
      <c r="H273" s="62" t="s">
        <v>13</v>
      </c>
      <c r="I273" s="62" t="s">
        <v>163</v>
      </c>
      <c r="J273" s="62" t="s">
        <v>273</v>
      </c>
      <c r="K273" s="62" t="s">
        <v>234</v>
      </c>
      <c r="L273" s="64">
        <v>45</v>
      </c>
      <c r="M273" s="64">
        <f t="shared" si="87"/>
        <v>18.52941176470588</v>
      </c>
      <c r="N273" s="65">
        <f t="shared" si="93"/>
        <v>0</v>
      </c>
      <c r="O273" s="66">
        <f t="shared" si="94"/>
        <v>0</v>
      </c>
      <c r="P273" s="62" t="s">
        <v>38</v>
      </c>
      <c r="Q273" s="67">
        <f t="shared" si="95"/>
        <v>0</v>
      </c>
      <c r="R273" s="64" t="e">
        <f t="shared" si="88"/>
        <v>#DIV/0!</v>
      </c>
      <c r="S273" s="64" t="e">
        <f t="shared" si="89"/>
        <v>#DIV/0!</v>
      </c>
      <c r="T273" s="67" t="e">
        <f t="shared" si="90"/>
        <v>#DIV/0!</v>
      </c>
      <c r="U273" s="64" t="e">
        <f t="shared" si="91"/>
        <v>#DIV/0!</v>
      </c>
      <c r="V273" s="68" t="e">
        <f t="shared" si="92"/>
        <v>#DIV/0!</v>
      </c>
    </row>
    <row r="274" spans="1:22" ht="28.8" x14ac:dyDescent="0.3">
      <c r="A274" s="61" t="s">
        <v>524</v>
      </c>
      <c r="B274" s="62" t="s">
        <v>234</v>
      </c>
      <c r="C274" s="62" t="s">
        <v>341</v>
      </c>
      <c r="D274" s="62" t="s">
        <v>601</v>
      </c>
      <c r="E274" s="63" t="s">
        <v>602</v>
      </c>
      <c r="F274" s="62" t="s">
        <v>398</v>
      </c>
      <c r="G274" s="62" t="s">
        <v>179</v>
      </c>
      <c r="H274" s="62" t="s">
        <v>13</v>
      </c>
      <c r="I274" s="62" t="s">
        <v>163</v>
      </c>
      <c r="J274" s="62" t="s">
        <v>273</v>
      </c>
      <c r="K274" s="62" t="s">
        <v>234</v>
      </c>
      <c r="L274" s="64">
        <v>69</v>
      </c>
      <c r="M274" s="64">
        <f t="shared" si="87"/>
        <v>28.411764705882351</v>
      </c>
      <c r="N274" s="65">
        <f t="shared" si="93"/>
        <v>0</v>
      </c>
      <c r="O274" s="66">
        <f t="shared" si="94"/>
        <v>0</v>
      </c>
      <c r="P274" s="62" t="s">
        <v>38</v>
      </c>
      <c r="Q274" s="67">
        <f t="shared" si="95"/>
        <v>0</v>
      </c>
      <c r="R274" s="64" t="e">
        <f t="shared" si="88"/>
        <v>#DIV/0!</v>
      </c>
      <c r="S274" s="64" t="e">
        <f t="shared" si="89"/>
        <v>#DIV/0!</v>
      </c>
      <c r="T274" s="67" t="e">
        <f t="shared" si="90"/>
        <v>#DIV/0!</v>
      </c>
      <c r="U274" s="64" t="e">
        <f t="shared" si="91"/>
        <v>#DIV/0!</v>
      </c>
      <c r="V274" s="68" t="e">
        <f t="shared" si="92"/>
        <v>#DIV/0!</v>
      </c>
    </row>
    <row r="275" spans="1:22" x14ac:dyDescent="0.3">
      <c r="A275" s="61" t="s">
        <v>524</v>
      </c>
      <c r="B275" s="62" t="s">
        <v>234</v>
      </c>
      <c r="C275" s="62" t="s">
        <v>341</v>
      </c>
      <c r="D275" s="62" t="s">
        <v>603</v>
      </c>
      <c r="E275" s="63" t="s">
        <v>600</v>
      </c>
      <c r="F275" s="62" t="s">
        <v>398</v>
      </c>
      <c r="G275" s="62" t="s">
        <v>179</v>
      </c>
      <c r="H275" s="62" t="s">
        <v>13</v>
      </c>
      <c r="I275" s="62" t="s">
        <v>163</v>
      </c>
      <c r="J275" s="62" t="s">
        <v>273</v>
      </c>
      <c r="K275" s="62" t="s">
        <v>234</v>
      </c>
      <c r="L275" s="64">
        <v>55</v>
      </c>
      <c r="M275" s="64">
        <f t="shared" si="87"/>
        <v>22.647058823529409</v>
      </c>
      <c r="N275" s="65">
        <f t="shared" si="93"/>
        <v>0</v>
      </c>
      <c r="O275" s="66">
        <f t="shared" si="94"/>
        <v>0</v>
      </c>
      <c r="P275" s="62" t="s">
        <v>38</v>
      </c>
      <c r="Q275" s="67">
        <f t="shared" si="95"/>
        <v>0</v>
      </c>
      <c r="R275" s="64" t="e">
        <f t="shared" si="88"/>
        <v>#DIV/0!</v>
      </c>
      <c r="S275" s="64" t="e">
        <f t="shared" si="89"/>
        <v>#DIV/0!</v>
      </c>
      <c r="T275" s="67" t="e">
        <f t="shared" si="90"/>
        <v>#DIV/0!</v>
      </c>
      <c r="U275" s="64" t="e">
        <f t="shared" si="91"/>
        <v>#DIV/0!</v>
      </c>
      <c r="V275" s="68" t="e">
        <f t="shared" si="92"/>
        <v>#DIV/0!</v>
      </c>
    </row>
    <row r="276" spans="1:22" x14ac:dyDescent="0.3">
      <c r="A276" s="61" t="s">
        <v>524</v>
      </c>
      <c r="B276" s="62" t="s">
        <v>234</v>
      </c>
      <c r="C276" s="62" t="s">
        <v>341</v>
      </c>
      <c r="D276" s="62" t="s">
        <v>604</v>
      </c>
      <c r="E276" s="63" t="s">
        <v>600</v>
      </c>
      <c r="F276" s="62" t="s">
        <v>398</v>
      </c>
      <c r="G276" s="62" t="s">
        <v>179</v>
      </c>
      <c r="H276" s="62" t="s">
        <v>13</v>
      </c>
      <c r="I276" s="62" t="s">
        <v>163</v>
      </c>
      <c r="J276" s="62" t="s">
        <v>273</v>
      </c>
      <c r="K276" s="62" t="s">
        <v>234</v>
      </c>
      <c r="L276" s="64">
        <v>55</v>
      </c>
      <c r="M276" s="64">
        <f t="shared" si="87"/>
        <v>22.647058823529409</v>
      </c>
      <c r="N276" s="65">
        <f t="shared" si="93"/>
        <v>0</v>
      </c>
      <c r="O276" s="66">
        <f t="shared" si="94"/>
        <v>0</v>
      </c>
      <c r="P276" s="62" t="s">
        <v>38</v>
      </c>
      <c r="Q276" s="67">
        <f t="shared" si="95"/>
        <v>0</v>
      </c>
      <c r="R276" s="64" t="e">
        <f t="shared" si="88"/>
        <v>#DIV/0!</v>
      </c>
      <c r="S276" s="64" t="e">
        <f t="shared" si="89"/>
        <v>#DIV/0!</v>
      </c>
      <c r="T276" s="67" t="e">
        <f t="shared" si="90"/>
        <v>#DIV/0!</v>
      </c>
      <c r="U276" s="64" t="e">
        <f t="shared" si="91"/>
        <v>#DIV/0!</v>
      </c>
      <c r="V276" s="68" t="e">
        <f t="shared" si="92"/>
        <v>#DIV/0!</v>
      </c>
    </row>
    <row r="277" spans="1:22" x14ac:dyDescent="0.3">
      <c r="A277" s="61" t="s">
        <v>524</v>
      </c>
      <c r="B277" s="62" t="s">
        <v>234</v>
      </c>
      <c r="C277" s="62" t="s">
        <v>341</v>
      </c>
      <c r="D277" s="62" t="s">
        <v>605</v>
      </c>
      <c r="E277" s="63" t="s">
        <v>600</v>
      </c>
      <c r="F277" s="62" t="s">
        <v>398</v>
      </c>
      <c r="G277" s="62" t="s">
        <v>179</v>
      </c>
      <c r="H277" s="62" t="s">
        <v>13</v>
      </c>
      <c r="I277" s="62" t="s">
        <v>163</v>
      </c>
      <c r="J277" s="62" t="s">
        <v>273</v>
      </c>
      <c r="K277" s="62" t="s">
        <v>234</v>
      </c>
      <c r="L277" s="64">
        <v>55</v>
      </c>
      <c r="M277" s="64">
        <f t="shared" si="87"/>
        <v>22.647058823529409</v>
      </c>
      <c r="N277" s="65">
        <f t="shared" si="93"/>
        <v>0</v>
      </c>
      <c r="O277" s="66">
        <f t="shared" si="94"/>
        <v>0</v>
      </c>
      <c r="P277" s="62" t="s">
        <v>38</v>
      </c>
      <c r="Q277" s="67">
        <f t="shared" si="95"/>
        <v>0</v>
      </c>
      <c r="R277" s="64" t="e">
        <f t="shared" si="88"/>
        <v>#DIV/0!</v>
      </c>
      <c r="S277" s="64" t="e">
        <f t="shared" si="89"/>
        <v>#DIV/0!</v>
      </c>
      <c r="T277" s="67" t="e">
        <f t="shared" si="90"/>
        <v>#DIV/0!</v>
      </c>
      <c r="U277" s="64" t="e">
        <f t="shared" si="91"/>
        <v>#DIV/0!</v>
      </c>
      <c r="V277" s="68" t="e">
        <f t="shared" si="92"/>
        <v>#DIV/0!</v>
      </c>
    </row>
    <row r="278" spans="1:22" x14ac:dyDescent="0.3">
      <c r="A278" s="61" t="s">
        <v>524</v>
      </c>
      <c r="B278" s="62" t="s">
        <v>234</v>
      </c>
      <c r="C278" s="62" t="s">
        <v>341</v>
      </c>
      <c r="D278" s="62" t="s">
        <v>606</v>
      </c>
      <c r="E278" s="63" t="s">
        <v>600</v>
      </c>
      <c r="F278" s="62" t="s">
        <v>398</v>
      </c>
      <c r="G278" s="62" t="s">
        <v>179</v>
      </c>
      <c r="H278" s="62" t="s">
        <v>13</v>
      </c>
      <c r="I278" s="62" t="s">
        <v>163</v>
      </c>
      <c r="J278" s="62" t="s">
        <v>273</v>
      </c>
      <c r="K278" s="62" t="s">
        <v>234</v>
      </c>
      <c r="L278" s="64">
        <v>55</v>
      </c>
      <c r="M278" s="64">
        <f t="shared" si="87"/>
        <v>22.647058823529409</v>
      </c>
      <c r="N278" s="65">
        <f t="shared" si="93"/>
        <v>0</v>
      </c>
      <c r="O278" s="66">
        <f t="shared" si="94"/>
        <v>0</v>
      </c>
      <c r="P278" s="62" t="s">
        <v>38</v>
      </c>
      <c r="Q278" s="67">
        <f t="shared" si="95"/>
        <v>0</v>
      </c>
      <c r="R278" s="64" t="e">
        <f t="shared" si="88"/>
        <v>#DIV/0!</v>
      </c>
      <c r="S278" s="64" t="e">
        <f t="shared" si="89"/>
        <v>#DIV/0!</v>
      </c>
      <c r="T278" s="67" t="e">
        <f t="shared" si="90"/>
        <v>#DIV/0!</v>
      </c>
      <c r="U278" s="64" t="e">
        <f t="shared" si="91"/>
        <v>#DIV/0!</v>
      </c>
      <c r="V278" s="68" t="e">
        <f t="shared" si="92"/>
        <v>#DIV/0!</v>
      </c>
    </row>
    <row r="279" spans="1:22" x14ac:dyDescent="0.3">
      <c r="A279" s="61" t="s">
        <v>524</v>
      </c>
      <c r="B279" s="62" t="s">
        <v>234</v>
      </c>
      <c r="C279" s="62" t="s">
        <v>341</v>
      </c>
      <c r="D279" s="62" t="s">
        <v>607</v>
      </c>
      <c r="E279" s="63" t="s">
        <v>600</v>
      </c>
      <c r="F279" s="62" t="s">
        <v>398</v>
      </c>
      <c r="G279" s="62" t="s">
        <v>179</v>
      </c>
      <c r="H279" s="62" t="s">
        <v>13</v>
      </c>
      <c r="I279" s="62" t="s">
        <v>163</v>
      </c>
      <c r="J279" s="62" t="s">
        <v>273</v>
      </c>
      <c r="K279" s="62" t="s">
        <v>234</v>
      </c>
      <c r="L279" s="64">
        <v>55</v>
      </c>
      <c r="M279" s="64">
        <f t="shared" si="87"/>
        <v>22.647058823529409</v>
      </c>
      <c r="N279" s="65">
        <f t="shared" si="93"/>
        <v>0</v>
      </c>
      <c r="O279" s="66">
        <f t="shared" si="94"/>
        <v>0</v>
      </c>
      <c r="P279" s="62" t="s">
        <v>38</v>
      </c>
      <c r="Q279" s="67">
        <f t="shared" si="95"/>
        <v>0</v>
      </c>
      <c r="R279" s="64" t="e">
        <f t="shared" si="88"/>
        <v>#DIV/0!</v>
      </c>
      <c r="S279" s="64" t="e">
        <f t="shared" si="89"/>
        <v>#DIV/0!</v>
      </c>
      <c r="T279" s="67" t="e">
        <f t="shared" si="90"/>
        <v>#DIV/0!</v>
      </c>
      <c r="U279" s="64" t="e">
        <f t="shared" si="91"/>
        <v>#DIV/0!</v>
      </c>
      <c r="V279" s="68" t="e">
        <f t="shared" si="92"/>
        <v>#DIV/0!</v>
      </c>
    </row>
    <row r="280" spans="1:22" x14ac:dyDescent="0.3">
      <c r="A280" s="61" t="s">
        <v>524</v>
      </c>
      <c r="B280" s="62" t="s">
        <v>234</v>
      </c>
      <c r="C280" s="62" t="s">
        <v>341</v>
      </c>
      <c r="D280" s="62" t="s">
        <v>608</v>
      </c>
      <c r="E280" s="63" t="s">
        <v>556</v>
      </c>
      <c r="F280" s="62" t="s">
        <v>609</v>
      </c>
      <c r="G280" s="62" t="s">
        <v>162</v>
      </c>
      <c r="H280" s="62" t="s">
        <v>13</v>
      </c>
      <c r="I280" s="62" t="s">
        <v>163</v>
      </c>
      <c r="J280" s="62" t="s">
        <v>261</v>
      </c>
      <c r="K280" s="62" t="s">
        <v>234</v>
      </c>
      <c r="L280" s="64">
        <v>9</v>
      </c>
      <c r="M280" s="64">
        <f t="shared" si="87"/>
        <v>3.7058823529411762</v>
      </c>
      <c r="N280" s="65">
        <f t="shared" ref="N280:N285" si="96">prodnorm1</f>
        <v>0</v>
      </c>
      <c r="O280" s="66">
        <f t="shared" ref="O280:O285" si="97">dagwerk1</f>
        <v>0</v>
      </c>
      <c r="P280" s="62" t="s">
        <v>38</v>
      </c>
      <c r="Q280" s="67">
        <f t="shared" ref="Q280:Q285" si="98">uurtarief1</f>
        <v>0</v>
      </c>
      <c r="R280" s="64" t="e">
        <f t="shared" si="88"/>
        <v>#DIV/0!</v>
      </c>
      <c r="S280" s="64" t="e">
        <f t="shared" si="89"/>
        <v>#DIV/0!</v>
      </c>
      <c r="T280" s="67" t="e">
        <f t="shared" si="90"/>
        <v>#DIV/0!</v>
      </c>
      <c r="U280" s="64" t="e">
        <f t="shared" si="91"/>
        <v>#DIV/0!</v>
      </c>
      <c r="V280" s="68" t="e">
        <f t="shared" si="92"/>
        <v>#DIV/0!</v>
      </c>
    </row>
    <row r="281" spans="1:22" x14ac:dyDescent="0.3">
      <c r="A281" s="61" t="s">
        <v>524</v>
      </c>
      <c r="B281" s="62" t="s">
        <v>234</v>
      </c>
      <c r="C281" s="62" t="s">
        <v>341</v>
      </c>
      <c r="D281" s="62" t="s">
        <v>610</v>
      </c>
      <c r="E281" s="63" t="s">
        <v>556</v>
      </c>
      <c r="F281" s="62" t="s">
        <v>609</v>
      </c>
      <c r="G281" s="62" t="s">
        <v>162</v>
      </c>
      <c r="H281" s="62" t="s">
        <v>13</v>
      </c>
      <c r="I281" s="62" t="s">
        <v>163</v>
      </c>
      <c r="J281" s="62" t="s">
        <v>261</v>
      </c>
      <c r="K281" s="62" t="s">
        <v>234</v>
      </c>
      <c r="L281" s="64">
        <v>10</v>
      </c>
      <c r="M281" s="64">
        <f t="shared" si="87"/>
        <v>4.117647058823529</v>
      </c>
      <c r="N281" s="65">
        <f t="shared" si="96"/>
        <v>0</v>
      </c>
      <c r="O281" s="66">
        <f t="shared" si="97"/>
        <v>0</v>
      </c>
      <c r="P281" s="62" t="s">
        <v>38</v>
      </c>
      <c r="Q281" s="67">
        <f t="shared" si="98"/>
        <v>0</v>
      </c>
      <c r="R281" s="64" t="e">
        <f t="shared" si="88"/>
        <v>#DIV/0!</v>
      </c>
      <c r="S281" s="64" t="e">
        <f t="shared" si="89"/>
        <v>#DIV/0!</v>
      </c>
      <c r="T281" s="67" t="e">
        <f t="shared" si="90"/>
        <v>#DIV/0!</v>
      </c>
      <c r="U281" s="64" t="e">
        <f t="shared" si="91"/>
        <v>#DIV/0!</v>
      </c>
      <c r="V281" s="68" t="e">
        <f t="shared" si="92"/>
        <v>#DIV/0!</v>
      </c>
    </row>
    <row r="282" spans="1:22" x14ac:dyDescent="0.3">
      <c r="A282" s="61" t="s">
        <v>524</v>
      </c>
      <c r="B282" s="62" t="s">
        <v>234</v>
      </c>
      <c r="C282" s="62" t="s">
        <v>341</v>
      </c>
      <c r="D282" s="62" t="s">
        <v>611</v>
      </c>
      <c r="E282" s="63" t="s">
        <v>556</v>
      </c>
      <c r="F282" s="62" t="s">
        <v>609</v>
      </c>
      <c r="G282" s="62" t="s">
        <v>162</v>
      </c>
      <c r="H282" s="62" t="s">
        <v>13</v>
      </c>
      <c r="I282" s="62" t="s">
        <v>163</v>
      </c>
      <c r="J282" s="62" t="s">
        <v>261</v>
      </c>
      <c r="K282" s="62" t="s">
        <v>234</v>
      </c>
      <c r="L282" s="64">
        <v>13</v>
      </c>
      <c r="M282" s="64">
        <f t="shared" si="87"/>
        <v>5.3529411764705879</v>
      </c>
      <c r="N282" s="65">
        <f t="shared" si="96"/>
        <v>0</v>
      </c>
      <c r="O282" s="66">
        <f t="shared" si="97"/>
        <v>0</v>
      </c>
      <c r="P282" s="62" t="s">
        <v>38</v>
      </c>
      <c r="Q282" s="67">
        <f t="shared" si="98"/>
        <v>0</v>
      </c>
      <c r="R282" s="64" t="e">
        <f t="shared" si="88"/>
        <v>#DIV/0!</v>
      </c>
      <c r="S282" s="64" t="e">
        <f t="shared" si="89"/>
        <v>#DIV/0!</v>
      </c>
      <c r="T282" s="67" t="e">
        <f t="shared" si="90"/>
        <v>#DIV/0!</v>
      </c>
      <c r="U282" s="64" t="e">
        <f t="shared" si="91"/>
        <v>#DIV/0!</v>
      </c>
      <c r="V282" s="68" t="e">
        <f t="shared" si="92"/>
        <v>#DIV/0!</v>
      </c>
    </row>
    <row r="283" spans="1:22" x14ac:dyDescent="0.3">
      <c r="A283" s="61" t="s">
        <v>524</v>
      </c>
      <c r="B283" s="62" t="s">
        <v>234</v>
      </c>
      <c r="C283" s="62" t="s">
        <v>341</v>
      </c>
      <c r="D283" s="62" t="s">
        <v>612</v>
      </c>
      <c r="E283" s="63" t="s">
        <v>556</v>
      </c>
      <c r="F283" s="62" t="s">
        <v>609</v>
      </c>
      <c r="G283" s="62" t="s">
        <v>162</v>
      </c>
      <c r="H283" s="62" t="s">
        <v>13</v>
      </c>
      <c r="I283" s="62" t="s">
        <v>163</v>
      </c>
      <c r="J283" s="62" t="s">
        <v>261</v>
      </c>
      <c r="K283" s="62" t="s">
        <v>234</v>
      </c>
      <c r="L283" s="64">
        <v>12</v>
      </c>
      <c r="M283" s="64">
        <f t="shared" si="87"/>
        <v>4.9411764705882355</v>
      </c>
      <c r="N283" s="65">
        <f t="shared" si="96"/>
        <v>0</v>
      </c>
      <c r="O283" s="66">
        <f t="shared" si="97"/>
        <v>0</v>
      </c>
      <c r="P283" s="62" t="s">
        <v>38</v>
      </c>
      <c r="Q283" s="67">
        <f t="shared" si="98"/>
        <v>0</v>
      </c>
      <c r="R283" s="64" t="e">
        <f t="shared" si="88"/>
        <v>#DIV/0!</v>
      </c>
      <c r="S283" s="64" t="e">
        <f t="shared" si="89"/>
        <v>#DIV/0!</v>
      </c>
      <c r="T283" s="67" t="e">
        <f t="shared" si="90"/>
        <v>#DIV/0!</v>
      </c>
      <c r="U283" s="64" t="e">
        <f t="shared" si="91"/>
        <v>#DIV/0!</v>
      </c>
      <c r="V283" s="68" t="e">
        <f t="shared" si="92"/>
        <v>#DIV/0!</v>
      </c>
    </row>
    <row r="284" spans="1:22" x14ac:dyDescent="0.3">
      <c r="A284" s="61" t="s">
        <v>524</v>
      </c>
      <c r="B284" s="62" t="s">
        <v>234</v>
      </c>
      <c r="C284" s="62" t="s">
        <v>341</v>
      </c>
      <c r="D284" s="62" t="s">
        <v>613</v>
      </c>
      <c r="E284" s="63" t="s">
        <v>556</v>
      </c>
      <c r="F284" s="62" t="s">
        <v>609</v>
      </c>
      <c r="G284" s="62" t="s">
        <v>162</v>
      </c>
      <c r="H284" s="62" t="s">
        <v>13</v>
      </c>
      <c r="I284" s="62" t="s">
        <v>163</v>
      </c>
      <c r="J284" s="62" t="s">
        <v>261</v>
      </c>
      <c r="K284" s="62" t="s">
        <v>234</v>
      </c>
      <c r="L284" s="64">
        <v>12</v>
      </c>
      <c r="M284" s="64">
        <f t="shared" si="87"/>
        <v>4.9411764705882355</v>
      </c>
      <c r="N284" s="65">
        <f t="shared" si="96"/>
        <v>0</v>
      </c>
      <c r="O284" s="66">
        <f t="shared" si="97"/>
        <v>0</v>
      </c>
      <c r="P284" s="62" t="s">
        <v>38</v>
      </c>
      <c r="Q284" s="67">
        <f t="shared" si="98"/>
        <v>0</v>
      </c>
      <c r="R284" s="64" t="e">
        <f t="shared" si="88"/>
        <v>#DIV/0!</v>
      </c>
      <c r="S284" s="64" t="e">
        <f t="shared" si="89"/>
        <v>#DIV/0!</v>
      </c>
      <c r="T284" s="67" t="e">
        <f t="shared" si="90"/>
        <v>#DIV/0!</v>
      </c>
      <c r="U284" s="64" t="e">
        <f t="shared" si="91"/>
        <v>#DIV/0!</v>
      </c>
      <c r="V284" s="68" t="e">
        <f t="shared" si="92"/>
        <v>#DIV/0!</v>
      </c>
    </row>
    <row r="285" spans="1:22" x14ac:dyDescent="0.3">
      <c r="A285" s="61" t="s">
        <v>524</v>
      </c>
      <c r="B285" s="62" t="s">
        <v>234</v>
      </c>
      <c r="C285" s="62" t="s">
        <v>341</v>
      </c>
      <c r="D285" s="62" t="s">
        <v>614</v>
      </c>
      <c r="E285" s="63" t="s">
        <v>556</v>
      </c>
      <c r="F285" s="62" t="s">
        <v>609</v>
      </c>
      <c r="G285" s="62" t="s">
        <v>162</v>
      </c>
      <c r="H285" s="62" t="s">
        <v>13</v>
      </c>
      <c r="I285" s="62" t="s">
        <v>163</v>
      </c>
      <c r="J285" s="62" t="s">
        <v>261</v>
      </c>
      <c r="K285" s="62" t="s">
        <v>234</v>
      </c>
      <c r="L285" s="64">
        <v>14</v>
      </c>
      <c r="M285" s="64">
        <f t="shared" si="87"/>
        <v>5.7647058823529411</v>
      </c>
      <c r="N285" s="65">
        <f t="shared" si="96"/>
        <v>0</v>
      </c>
      <c r="O285" s="66">
        <f t="shared" si="97"/>
        <v>0</v>
      </c>
      <c r="P285" s="62" t="s">
        <v>38</v>
      </c>
      <c r="Q285" s="67">
        <f t="shared" si="98"/>
        <v>0</v>
      </c>
      <c r="R285" s="64" t="e">
        <f t="shared" si="88"/>
        <v>#DIV/0!</v>
      </c>
      <c r="S285" s="64" t="e">
        <f t="shared" si="89"/>
        <v>#DIV/0!</v>
      </c>
      <c r="T285" s="67" t="e">
        <f t="shared" si="90"/>
        <v>#DIV/0!</v>
      </c>
      <c r="U285" s="64" t="e">
        <f t="shared" si="91"/>
        <v>#DIV/0!</v>
      </c>
      <c r="V285" s="68" t="e">
        <f t="shared" si="92"/>
        <v>#DIV/0!</v>
      </c>
    </row>
    <row r="286" spans="1:22" x14ac:dyDescent="0.3">
      <c r="A286" s="61" t="s">
        <v>524</v>
      </c>
      <c r="B286" s="62" t="s">
        <v>234</v>
      </c>
      <c r="C286" s="62" t="s">
        <v>341</v>
      </c>
      <c r="D286" s="62" t="s">
        <v>615</v>
      </c>
      <c r="E286" s="63" t="s">
        <v>616</v>
      </c>
      <c r="F286" s="62" t="s">
        <v>564</v>
      </c>
      <c r="G286" s="62" t="s">
        <v>203</v>
      </c>
      <c r="H286" s="62" t="s">
        <v>10</v>
      </c>
      <c r="I286" s="62" t="s">
        <v>163</v>
      </c>
      <c r="J286" s="62" t="s">
        <v>246</v>
      </c>
      <c r="K286" s="62" t="s">
        <v>234</v>
      </c>
      <c r="L286" s="64">
        <v>7</v>
      </c>
      <c r="M286" s="64">
        <f t="shared" si="87"/>
        <v>5.7647058823529411</v>
      </c>
      <c r="N286" s="65">
        <f t="shared" ref="N286:N292" si="99">prodnorm24</f>
        <v>0</v>
      </c>
      <c r="O286" s="66">
        <f t="shared" ref="O286:O292" si="100">dagwerk24</f>
        <v>0</v>
      </c>
      <c r="P286" s="62" t="s">
        <v>38</v>
      </c>
      <c r="Q286" s="67">
        <f t="shared" ref="Q286:Q292" si="101">uurtarief24</f>
        <v>0</v>
      </c>
      <c r="R286" s="64" t="e">
        <f t="shared" si="88"/>
        <v>#DIV/0!</v>
      </c>
      <c r="S286" s="64" t="e">
        <f t="shared" si="89"/>
        <v>#DIV/0!</v>
      </c>
      <c r="T286" s="67" t="e">
        <f t="shared" si="90"/>
        <v>#DIV/0!</v>
      </c>
      <c r="U286" s="64" t="e">
        <f t="shared" si="91"/>
        <v>#DIV/0!</v>
      </c>
      <c r="V286" s="68" t="e">
        <f t="shared" si="92"/>
        <v>#DIV/0!</v>
      </c>
    </row>
    <row r="287" spans="1:22" x14ac:dyDescent="0.3">
      <c r="A287" s="61" t="s">
        <v>524</v>
      </c>
      <c r="B287" s="62" t="s">
        <v>234</v>
      </c>
      <c r="C287" s="62" t="s">
        <v>341</v>
      </c>
      <c r="D287" s="62" t="s">
        <v>617</v>
      </c>
      <c r="E287" s="63" t="s">
        <v>618</v>
      </c>
      <c r="F287" s="62" t="s">
        <v>564</v>
      </c>
      <c r="G287" s="62" t="s">
        <v>203</v>
      </c>
      <c r="H287" s="62" t="s">
        <v>10</v>
      </c>
      <c r="I287" s="62" t="s">
        <v>163</v>
      </c>
      <c r="J287" s="62" t="s">
        <v>246</v>
      </c>
      <c r="K287" s="62" t="s">
        <v>234</v>
      </c>
      <c r="L287" s="64">
        <v>7</v>
      </c>
      <c r="M287" s="64">
        <f t="shared" ref="M287:M318" si="102">L287*VLOOKUP(H287,dagsoorttabel1,2,FALSE)</f>
        <v>5.7647058823529411</v>
      </c>
      <c r="N287" s="65">
        <f t="shared" si="99"/>
        <v>0</v>
      </c>
      <c r="O287" s="66">
        <f t="shared" si="100"/>
        <v>0</v>
      </c>
      <c r="P287" s="62" t="s">
        <v>38</v>
      </c>
      <c r="Q287" s="67">
        <f t="shared" si="101"/>
        <v>0</v>
      </c>
      <c r="R287" s="64" t="e">
        <f t="shared" ref="R287:R322" si="103">IF(ISBLANK(N287),0,M287/ROUND(N287,4))</f>
        <v>#DIV/0!</v>
      </c>
      <c r="S287" s="64" t="e">
        <f t="shared" ref="S287:S318" si="104">IF(ISBLANK(N287),0,R287*ROUND(O287,2))</f>
        <v>#DIV/0!</v>
      </c>
      <c r="T287" s="67" t="e">
        <f t="shared" ref="T287:T322" si="105">ROUND(Q287,2)*R287</f>
        <v>#DIV/0!</v>
      </c>
      <c r="U287" s="64" t="e">
        <f t="shared" ref="U287:U322" si="106">R287*dagenperjaar1</f>
        <v>#DIV/0!</v>
      </c>
      <c r="V287" s="68" t="e">
        <f t="shared" ref="V287:V318" si="107">U287*ROUND(Q287,2)</f>
        <v>#DIV/0!</v>
      </c>
    </row>
    <row r="288" spans="1:22" x14ac:dyDescent="0.3">
      <c r="A288" s="61" t="s">
        <v>524</v>
      </c>
      <c r="B288" s="62" t="s">
        <v>234</v>
      </c>
      <c r="C288" s="62" t="s">
        <v>341</v>
      </c>
      <c r="D288" s="62" t="s">
        <v>619</v>
      </c>
      <c r="E288" s="63" t="s">
        <v>618</v>
      </c>
      <c r="F288" s="62" t="s">
        <v>564</v>
      </c>
      <c r="G288" s="62" t="s">
        <v>203</v>
      </c>
      <c r="H288" s="62" t="s">
        <v>10</v>
      </c>
      <c r="I288" s="62" t="s">
        <v>163</v>
      </c>
      <c r="J288" s="62" t="s">
        <v>246</v>
      </c>
      <c r="K288" s="62" t="s">
        <v>234</v>
      </c>
      <c r="L288" s="64">
        <v>12</v>
      </c>
      <c r="M288" s="64">
        <f t="shared" si="102"/>
        <v>9.882352941176471</v>
      </c>
      <c r="N288" s="65">
        <f t="shared" si="99"/>
        <v>0</v>
      </c>
      <c r="O288" s="66">
        <f t="shared" si="100"/>
        <v>0</v>
      </c>
      <c r="P288" s="62" t="s">
        <v>38</v>
      </c>
      <c r="Q288" s="67">
        <f t="shared" si="101"/>
        <v>0</v>
      </c>
      <c r="R288" s="64" t="e">
        <f t="shared" si="103"/>
        <v>#DIV/0!</v>
      </c>
      <c r="S288" s="64" t="e">
        <f t="shared" si="104"/>
        <v>#DIV/0!</v>
      </c>
      <c r="T288" s="67" t="e">
        <f t="shared" si="105"/>
        <v>#DIV/0!</v>
      </c>
      <c r="U288" s="64" t="e">
        <f t="shared" si="106"/>
        <v>#DIV/0!</v>
      </c>
      <c r="V288" s="68" t="e">
        <f t="shared" si="107"/>
        <v>#DIV/0!</v>
      </c>
    </row>
    <row r="289" spans="1:22" x14ac:dyDescent="0.3">
      <c r="A289" s="61" t="s">
        <v>524</v>
      </c>
      <c r="B289" s="62" t="s">
        <v>234</v>
      </c>
      <c r="C289" s="62" t="s">
        <v>341</v>
      </c>
      <c r="D289" s="62" t="s">
        <v>620</v>
      </c>
      <c r="E289" s="63" t="s">
        <v>616</v>
      </c>
      <c r="F289" s="62" t="s">
        <v>564</v>
      </c>
      <c r="G289" s="62" t="s">
        <v>203</v>
      </c>
      <c r="H289" s="62" t="s">
        <v>10</v>
      </c>
      <c r="I289" s="62" t="s">
        <v>163</v>
      </c>
      <c r="J289" s="62" t="s">
        <v>246</v>
      </c>
      <c r="K289" s="62" t="s">
        <v>234</v>
      </c>
      <c r="L289" s="64">
        <v>12</v>
      </c>
      <c r="M289" s="64">
        <f t="shared" si="102"/>
        <v>9.882352941176471</v>
      </c>
      <c r="N289" s="65">
        <f t="shared" si="99"/>
        <v>0</v>
      </c>
      <c r="O289" s="66">
        <f t="shared" si="100"/>
        <v>0</v>
      </c>
      <c r="P289" s="62" t="s">
        <v>38</v>
      </c>
      <c r="Q289" s="67">
        <f t="shared" si="101"/>
        <v>0</v>
      </c>
      <c r="R289" s="64" t="e">
        <f t="shared" si="103"/>
        <v>#DIV/0!</v>
      </c>
      <c r="S289" s="64" t="e">
        <f t="shared" si="104"/>
        <v>#DIV/0!</v>
      </c>
      <c r="T289" s="67" t="e">
        <f t="shared" si="105"/>
        <v>#DIV/0!</v>
      </c>
      <c r="U289" s="64" t="e">
        <f t="shared" si="106"/>
        <v>#DIV/0!</v>
      </c>
      <c r="V289" s="68" t="e">
        <f t="shared" si="107"/>
        <v>#DIV/0!</v>
      </c>
    </row>
    <row r="290" spans="1:22" x14ac:dyDescent="0.3">
      <c r="A290" s="61" t="s">
        <v>524</v>
      </c>
      <c r="B290" s="62" t="s">
        <v>234</v>
      </c>
      <c r="C290" s="62" t="s">
        <v>341</v>
      </c>
      <c r="D290" s="62" t="s">
        <v>621</v>
      </c>
      <c r="E290" s="63" t="s">
        <v>616</v>
      </c>
      <c r="F290" s="62" t="s">
        <v>564</v>
      </c>
      <c r="G290" s="62" t="s">
        <v>203</v>
      </c>
      <c r="H290" s="62" t="s">
        <v>10</v>
      </c>
      <c r="I290" s="62" t="s">
        <v>163</v>
      </c>
      <c r="J290" s="62" t="s">
        <v>246</v>
      </c>
      <c r="K290" s="62" t="s">
        <v>234</v>
      </c>
      <c r="L290" s="64">
        <v>7</v>
      </c>
      <c r="M290" s="64">
        <f t="shared" si="102"/>
        <v>5.7647058823529411</v>
      </c>
      <c r="N290" s="65">
        <f t="shared" si="99"/>
        <v>0</v>
      </c>
      <c r="O290" s="66">
        <f t="shared" si="100"/>
        <v>0</v>
      </c>
      <c r="P290" s="62" t="s">
        <v>38</v>
      </c>
      <c r="Q290" s="67">
        <f t="shared" si="101"/>
        <v>0</v>
      </c>
      <c r="R290" s="64" t="e">
        <f t="shared" si="103"/>
        <v>#DIV/0!</v>
      </c>
      <c r="S290" s="64" t="e">
        <f t="shared" si="104"/>
        <v>#DIV/0!</v>
      </c>
      <c r="T290" s="67" t="e">
        <f t="shared" si="105"/>
        <v>#DIV/0!</v>
      </c>
      <c r="U290" s="64" t="e">
        <f t="shared" si="106"/>
        <v>#DIV/0!</v>
      </c>
      <c r="V290" s="68" t="e">
        <f t="shared" si="107"/>
        <v>#DIV/0!</v>
      </c>
    </row>
    <row r="291" spans="1:22" x14ac:dyDescent="0.3">
      <c r="A291" s="61" t="s">
        <v>524</v>
      </c>
      <c r="B291" s="62" t="s">
        <v>234</v>
      </c>
      <c r="C291" s="62" t="s">
        <v>341</v>
      </c>
      <c r="D291" s="62" t="s">
        <v>622</v>
      </c>
      <c r="E291" s="63" t="s">
        <v>618</v>
      </c>
      <c r="F291" s="62" t="s">
        <v>564</v>
      </c>
      <c r="G291" s="62" t="s">
        <v>203</v>
      </c>
      <c r="H291" s="62" t="s">
        <v>10</v>
      </c>
      <c r="I291" s="62" t="s">
        <v>163</v>
      </c>
      <c r="J291" s="62" t="s">
        <v>246</v>
      </c>
      <c r="K291" s="62" t="s">
        <v>234</v>
      </c>
      <c r="L291" s="64">
        <v>7</v>
      </c>
      <c r="M291" s="64">
        <f t="shared" si="102"/>
        <v>5.7647058823529411</v>
      </c>
      <c r="N291" s="65">
        <f t="shared" si="99"/>
        <v>0</v>
      </c>
      <c r="O291" s="66">
        <f t="shared" si="100"/>
        <v>0</v>
      </c>
      <c r="P291" s="62" t="s">
        <v>38</v>
      </c>
      <c r="Q291" s="67">
        <f t="shared" si="101"/>
        <v>0</v>
      </c>
      <c r="R291" s="64" t="e">
        <f t="shared" si="103"/>
        <v>#DIV/0!</v>
      </c>
      <c r="S291" s="64" t="e">
        <f t="shared" si="104"/>
        <v>#DIV/0!</v>
      </c>
      <c r="T291" s="67" t="e">
        <f t="shared" si="105"/>
        <v>#DIV/0!</v>
      </c>
      <c r="U291" s="64" t="e">
        <f t="shared" si="106"/>
        <v>#DIV/0!</v>
      </c>
      <c r="V291" s="68" t="e">
        <f t="shared" si="107"/>
        <v>#DIV/0!</v>
      </c>
    </row>
    <row r="292" spans="1:22" x14ac:dyDescent="0.3">
      <c r="A292" s="61" t="s">
        <v>524</v>
      </c>
      <c r="B292" s="62" t="s">
        <v>234</v>
      </c>
      <c r="C292" s="62" t="s">
        <v>341</v>
      </c>
      <c r="D292" s="62" t="s">
        <v>623</v>
      </c>
      <c r="E292" s="63" t="s">
        <v>338</v>
      </c>
      <c r="F292" s="62" t="s">
        <v>564</v>
      </c>
      <c r="G292" s="62" t="s">
        <v>203</v>
      </c>
      <c r="H292" s="62" t="s">
        <v>10</v>
      </c>
      <c r="I292" s="62" t="s">
        <v>163</v>
      </c>
      <c r="J292" s="62" t="s">
        <v>246</v>
      </c>
      <c r="K292" s="62" t="s">
        <v>234</v>
      </c>
      <c r="L292" s="64">
        <v>4</v>
      </c>
      <c r="M292" s="64">
        <f t="shared" si="102"/>
        <v>3.2941176470588234</v>
      </c>
      <c r="N292" s="65">
        <f t="shared" si="99"/>
        <v>0</v>
      </c>
      <c r="O292" s="66">
        <f t="shared" si="100"/>
        <v>0</v>
      </c>
      <c r="P292" s="62" t="s">
        <v>38</v>
      </c>
      <c r="Q292" s="67">
        <f t="shared" si="101"/>
        <v>0</v>
      </c>
      <c r="R292" s="64" t="e">
        <f t="shared" si="103"/>
        <v>#DIV/0!</v>
      </c>
      <c r="S292" s="64" t="e">
        <f t="shared" si="104"/>
        <v>#DIV/0!</v>
      </c>
      <c r="T292" s="67" t="e">
        <f t="shared" si="105"/>
        <v>#DIV/0!</v>
      </c>
      <c r="U292" s="64" t="e">
        <f t="shared" si="106"/>
        <v>#DIV/0!</v>
      </c>
      <c r="V292" s="68" t="e">
        <f t="shared" si="107"/>
        <v>#DIV/0!</v>
      </c>
    </row>
    <row r="293" spans="1:22" x14ac:dyDescent="0.3">
      <c r="A293" s="61" t="s">
        <v>524</v>
      </c>
      <c r="B293" s="62" t="s">
        <v>234</v>
      </c>
      <c r="C293" s="62" t="s">
        <v>493</v>
      </c>
      <c r="D293" s="62" t="s">
        <v>624</v>
      </c>
      <c r="E293" s="63" t="s">
        <v>625</v>
      </c>
      <c r="F293" s="62" t="s">
        <v>398</v>
      </c>
      <c r="G293" s="62" t="s">
        <v>179</v>
      </c>
      <c r="H293" s="62" t="s">
        <v>13</v>
      </c>
      <c r="I293" s="62" t="s">
        <v>163</v>
      </c>
      <c r="J293" s="62" t="s">
        <v>273</v>
      </c>
      <c r="K293" s="62" t="s">
        <v>234</v>
      </c>
      <c r="L293" s="64">
        <v>59</v>
      </c>
      <c r="M293" s="64">
        <f t="shared" si="102"/>
        <v>24.294117647058822</v>
      </c>
      <c r="N293" s="65">
        <f>prodnorm10</f>
        <v>0</v>
      </c>
      <c r="O293" s="66">
        <f>dagwerk10</f>
        <v>0</v>
      </c>
      <c r="P293" s="62" t="s">
        <v>38</v>
      </c>
      <c r="Q293" s="67">
        <f>uurtarief10</f>
        <v>0</v>
      </c>
      <c r="R293" s="64" t="e">
        <f t="shared" si="103"/>
        <v>#DIV/0!</v>
      </c>
      <c r="S293" s="64" t="e">
        <f t="shared" si="104"/>
        <v>#DIV/0!</v>
      </c>
      <c r="T293" s="67" t="e">
        <f t="shared" si="105"/>
        <v>#DIV/0!</v>
      </c>
      <c r="U293" s="64" t="e">
        <f t="shared" si="106"/>
        <v>#DIV/0!</v>
      </c>
      <c r="V293" s="68" t="e">
        <f t="shared" si="107"/>
        <v>#DIV/0!</v>
      </c>
    </row>
    <row r="294" spans="1:22" x14ac:dyDescent="0.3">
      <c r="A294" s="61" t="s">
        <v>524</v>
      </c>
      <c r="B294" s="62" t="s">
        <v>234</v>
      </c>
      <c r="C294" s="62" t="s">
        <v>493</v>
      </c>
      <c r="D294" s="62" t="s">
        <v>626</v>
      </c>
      <c r="E294" s="63" t="s">
        <v>627</v>
      </c>
      <c r="F294" s="62" t="s">
        <v>398</v>
      </c>
      <c r="G294" s="62" t="s">
        <v>193</v>
      </c>
      <c r="H294" s="62" t="s">
        <v>10</v>
      </c>
      <c r="I294" s="62" t="s">
        <v>163</v>
      </c>
      <c r="J294" s="62" t="s">
        <v>273</v>
      </c>
      <c r="K294" s="62" t="s">
        <v>234</v>
      </c>
      <c r="L294" s="64">
        <v>119</v>
      </c>
      <c r="M294" s="64">
        <f t="shared" si="102"/>
        <v>98</v>
      </c>
      <c r="N294" s="65">
        <f>prodnorm19</f>
        <v>0</v>
      </c>
      <c r="O294" s="66">
        <f>dagwerk19</f>
        <v>0</v>
      </c>
      <c r="P294" s="62" t="s">
        <v>38</v>
      </c>
      <c r="Q294" s="67">
        <f>uurtarief19</f>
        <v>0</v>
      </c>
      <c r="R294" s="64" t="e">
        <f t="shared" si="103"/>
        <v>#DIV/0!</v>
      </c>
      <c r="S294" s="64" t="e">
        <f t="shared" si="104"/>
        <v>#DIV/0!</v>
      </c>
      <c r="T294" s="67" t="e">
        <f t="shared" si="105"/>
        <v>#DIV/0!</v>
      </c>
      <c r="U294" s="64" t="e">
        <f t="shared" si="106"/>
        <v>#DIV/0!</v>
      </c>
      <c r="V294" s="68" t="e">
        <f t="shared" si="107"/>
        <v>#DIV/0!</v>
      </c>
    </row>
    <row r="295" spans="1:22" x14ac:dyDescent="0.3">
      <c r="A295" s="61" t="s">
        <v>524</v>
      </c>
      <c r="B295" s="62" t="s">
        <v>234</v>
      </c>
      <c r="C295" s="62" t="s">
        <v>493</v>
      </c>
      <c r="D295" s="62" t="s">
        <v>628</v>
      </c>
      <c r="E295" s="63" t="s">
        <v>629</v>
      </c>
      <c r="F295" s="62" t="s">
        <v>398</v>
      </c>
      <c r="G295" s="62" t="s">
        <v>191</v>
      </c>
      <c r="H295" s="62" t="s">
        <v>10</v>
      </c>
      <c r="I295" s="62" t="s">
        <v>163</v>
      </c>
      <c r="J295" s="62" t="s">
        <v>273</v>
      </c>
      <c r="K295" s="62" t="s">
        <v>234</v>
      </c>
      <c r="L295" s="64">
        <v>112</v>
      </c>
      <c r="M295" s="64">
        <f t="shared" si="102"/>
        <v>92.235294117647058</v>
      </c>
      <c r="N295" s="65">
        <f>prodnorm17</f>
        <v>0</v>
      </c>
      <c r="O295" s="66">
        <f>dagwerk17</f>
        <v>0</v>
      </c>
      <c r="P295" s="62" t="s">
        <v>38</v>
      </c>
      <c r="Q295" s="67">
        <f>uurtarief17</f>
        <v>0</v>
      </c>
      <c r="R295" s="64" t="e">
        <f t="shared" si="103"/>
        <v>#DIV/0!</v>
      </c>
      <c r="S295" s="64" t="e">
        <f t="shared" si="104"/>
        <v>#DIV/0!</v>
      </c>
      <c r="T295" s="67" t="e">
        <f t="shared" si="105"/>
        <v>#DIV/0!</v>
      </c>
      <c r="U295" s="64" t="e">
        <f t="shared" si="106"/>
        <v>#DIV/0!</v>
      </c>
      <c r="V295" s="68" t="e">
        <f t="shared" si="107"/>
        <v>#DIV/0!</v>
      </c>
    </row>
    <row r="296" spans="1:22" x14ac:dyDescent="0.3">
      <c r="A296" s="61" t="s">
        <v>524</v>
      </c>
      <c r="B296" s="62" t="s">
        <v>234</v>
      </c>
      <c r="C296" s="62" t="s">
        <v>493</v>
      </c>
      <c r="D296" s="62" t="s">
        <v>630</v>
      </c>
      <c r="E296" s="63" t="s">
        <v>631</v>
      </c>
      <c r="F296" s="62" t="s">
        <v>398</v>
      </c>
      <c r="G296" s="62" t="s">
        <v>195</v>
      </c>
      <c r="H296" s="62" t="s">
        <v>13</v>
      </c>
      <c r="I296" s="62" t="s">
        <v>163</v>
      </c>
      <c r="J296" s="62" t="s">
        <v>273</v>
      </c>
      <c r="K296" s="62" t="s">
        <v>234</v>
      </c>
      <c r="L296" s="64">
        <v>37</v>
      </c>
      <c r="M296" s="64">
        <f t="shared" si="102"/>
        <v>15.235294117647058</v>
      </c>
      <c r="N296" s="65">
        <f>prodnorm20</f>
        <v>0</v>
      </c>
      <c r="O296" s="66">
        <f>dagwerk20</f>
        <v>0</v>
      </c>
      <c r="P296" s="62" t="s">
        <v>38</v>
      </c>
      <c r="Q296" s="67">
        <f>uurtarief20</f>
        <v>0</v>
      </c>
      <c r="R296" s="64" t="e">
        <f t="shared" si="103"/>
        <v>#DIV/0!</v>
      </c>
      <c r="S296" s="64" t="e">
        <f t="shared" si="104"/>
        <v>#DIV/0!</v>
      </c>
      <c r="T296" s="67" t="e">
        <f t="shared" si="105"/>
        <v>#DIV/0!</v>
      </c>
      <c r="U296" s="64" t="e">
        <f t="shared" si="106"/>
        <v>#DIV/0!</v>
      </c>
      <c r="V296" s="68" t="e">
        <f t="shared" si="107"/>
        <v>#DIV/0!</v>
      </c>
    </row>
    <row r="297" spans="1:22" x14ac:dyDescent="0.3">
      <c r="A297" s="61" t="s">
        <v>524</v>
      </c>
      <c r="B297" s="62" t="s">
        <v>234</v>
      </c>
      <c r="C297" s="62" t="s">
        <v>493</v>
      </c>
      <c r="D297" s="62" t="s">
        <v>632</v>
      </c>
      <c r="E297" s="63" t="s">
        <v>633</v>
      </c>
      <c r="F297" s="62" t="s">
        <v>398</v>
      </c>
      <c r="G297" s="62" t="s">
        <v>195</v>
      </c>
      <c r="H297" s="62" t="s">
        <v>13</v>
      </c>
      <c r="I297" s="62" t="s">
        <v>163</v>
      </c>
      <c r="J297" s="62" t="s">
        <v>273</v>
      </c>
      <c r="K297" s="62" t="s">
        <v>234</v>
      </c>
      <c r="L297" s="64">
        <v>16</v>
      </c>
      <c r="M297" s="64">
        <f t="shared" si="102"/>
        <v>6.5882352941176467</v>
      </c>
      <c r="N297" s="65">
        <f>prodnorm20</f>
        <v>0</v>
      </c>
      <c r="O297" s="66">
        <f>dagwerk20</f>
        <v>0</v>
      </c>
      <c r="P297" s="62" t="s">
        <v>38</v>
      </c>
      <c r="Q297" s="67">
        <f>uurtarief20</f>
        <v>0</v>
      </c>
      <c r="R297" s="64" t="e">
        <f t="shared" si="103"/>
        <v>#DIV/0!</v>
      </c>
      <c r="S297" s="64" t="e">
        <f t="shared" si="104"/>
        <v>#DIV/0!</v>
      </c>
      <c r="T297" s="67" t="e">
        <f t="shared" si="105"/>
        <v>#DIV/0!</v>
      </c>
      <c r="U297" s="64" t="e">
        <f t="shared" si="106"/>
        <v>#DIV/0!</v>
      </c>
      <c r="V297" s="68" t="e">
        <f t="shared" si="107"/>
        <v>#DIV/0!</v>
      </c>
    </row>
    <row r="298" spans="1:22" x14ac:dyDescent="0.3">
      <c r="A298" s="61" t="s">
        <v>524</v>
      </c>
      <c r="B298" s="62" t="s">
        <v>234</v>
      </c>
      <c r="C298" s="62" t="s">
        <v>493</v>
      </c>
      <c r="D298" s="62" t="s">
        <v>634</v>
      </c>
      <c r="E298" s="63" t="s">
        <v>263</v>
      </c>
      <c r="F298" s="62" t="s">
        <v>609</v>
      </c>
      <c r="G298" s="62" t="s">
        <v>162</v>
      </c>
      <c r="H298" s="62" t="s">
        <v>13</v>
      </c>
      <c r="I298" s="62" t="s">
        <v>163</v>
      </c>
      <c r="J298" s="62" t="s">
        <v>261</v>
      </c>
      <c r="K298" s="62" t="s">
        <v>234</v>
      </c>
      <c r="L298" s="64">
        <v>18</v>
      </c>
      <c r="M298" s="64">
        <f t="shared" si="102"/>
        <v>7.4117647058823524</v>
      </c>
      <c r="N298" s="65">
        <f>prodnorm1</f>
        <v>0</v>
      </c>
      <c r="O298" s="66">
        <f>dagwerk1</f>
        <v>0</v>
      </c>
      <c r="P298" s="62" t="s">
        <v>38</v>
      </c>
      <c r="Q298" s="67">
        <f>uurtarief1</f>
        <v>0</v>
      </c>
      <c r="R298" s="64" t="e">
        <f t="shared" si="103"/>
        <v>#DIV/0!</v>
      </c>
      <c r="S298" s="64" t="e">
        <f t="shared" si="104"/>
        <v>#DIV/0!</v>
      </c>
      <c r="T298" s="67" t="e">
        <f t="shared" si="105"/>
        <v>#DIV/0!</v>
      </c>
      <c r="U298" s="64" t="e">
        <f t="shared" si="106"/>
        <v>#DIV/0!</v>
      </c>
      <c r="V298" s="68" t="e">
        <f t="shared" si="107"/>
        <v>#DIV/0!</v>
      </c>
    </row>
    <row r="299" spans="1:22" x14ac:dyDescent="0.3">
      <c r="A299" s="61" t="s">
        <v>524</v>
      </c>
      <c r="B299" s="62" t="s">
        <v>234</v>
      </c>
      <c r="C299" s="62" t="s">
        <v>493</v>
      </c>
      <c r="D299" s="62" t="s">
        <v>635</v>
      </c>
      <c r="E299" s="63" t="s">
        <v>636</v>
      </c>
      <c r="F299" s="62" t="s">
        <v>398</v>
      </c>
      <c r="G299" s="62" t="s">
        <v>195</v>
      </c>
      <c r="H299" s="62" t="s">
        <v>13</v>
      </c>
      <c r="I299" s="62" t="s">
        <v>163</v>
      </c>
      <c r="J299" s="62" t="s">
        <v>273</v>
      </c>
      <c r="K299" s="62" t="s">
        <v>234</v>
      </c>
      <c r="L299" s="64">
        <v>21</v>
      </c>
      <c r="M299" s="64">
        <f t="shared" si="102"/>
        <v>8.6470588235294112</v>
      </c>
      <c r="N299" s="65">
        <f>prodnorm20</f>
        <v>0</v>
      </c>
      <c r="O299" s="66">
        <f>dagwerk20</f>
        <v>0</v>
      </c>
      <c r="P299" s="62" t="s">
        <v>38</v>
      </c>
      <c r="Q299" s="67">
        <f>uurtarief20</f>
        <v>0</v>
      </c>
      <c r="R299" s="64" t="e">
        <f t="shared" si="103"/>
        <v>#DIV/0!</v>
      </c>
      <c r="S299" s="64" t="e">
        <f t="shared" si="104"/>
        <v>#DIV/0!</v>
      </c>
      <c r="T299" s="67" t="e">
        <f t="shared" si="105"/>
        <v>#DIV/0!</v>
      </c>
      <c r="U299" s="64" t="e">
        <f t="shared" si="106"/>
        <v>#DIV/0!</v>
      </c>
      <c r="V299" s="68" t="e">
        <f t="shared" si="107"/>
        <v>#DIV/0!</v>
      </c>
    </row>
    <row r="300" spans="1:22" x14ac:dyDescent="0.3">
      <c r="A300" s="61" t="s">
        <v>524</v>
      </c>
      <c r="B300" s="62" t="s">
        <v>234</v>
      </c>
      <c r="C300" s="62" t="s">
        <v>493</v>
      </c>
      <c r="D300" s="62" t="s">
        <v>637</v>
      </c>
      <c r="E300" s="63" t="s">
        <v>638</v>
      </c>
      <c r="F300" s="62" t="s">
        <v>398</v>
      </c>
      <c r="G300" s="62" t="s">
        <v>195</v>
      </c>
      <c r="H300" s="62" t="s">
        <v>13</v>
      </c>
      <c r="I300" s="62" t="s">
        <v>163</v>
      </c>
      <c r="J300" s="62" t="s">
        <v>273</v>
      </c>
      <c r="K300" s="62" t="s">
        <v>234</v>
      </c>
      <c r="L300" s="64">
        <v>23</v>
      </c>
      <c r="M300" s="64">
        <f t="shared" si="102"/>
        <v>9.4705882352941178</v>
      </c>
      <c r="N300" s="65">
        <f>prodnorm20</f>
        <v>0</v>
      </c>
      <c r="O300" s="66">
        <f>dagwerk20</f>
        <v>0</v>
      </c>
      <c r="P300" s="62" t="s">
        <v>38</v>
      </c>
      <c r="Q300" s="67">
        <f>uurtarief20</f>
        <v>0</v>
      </c>
      <c r="R300" s="64" t="e">
        <f t="shared" si="103"/>
        <v>#DIV/0!</v>
      </c>
      <c r="S300" s="64" t="e">
        <f t="shared" si="104"/>
        <v>#DIV/0!</v>
      </c>
      <c r="T300" s="67" t="e">
        <f t="shared" si="105"/>
        <v>#DIV/0!</v>
      </c>
      <c r="U300" s="64" t="e">
        <f t="shared" si="106"/>
        <v>#DIV/0!</v>
      </c>
      <c r="V300" s="68" t="e">
        <f t="shared" si="107"/>
        <v>#DIV/0!</v>
      </c>
    </row>
    <row r="301" spans="1:22" ht="28.8" x14ac:dyDescent="0.3">
      <c r="A301" s="61" t="s">
        <v>524</v>
      </c>
      <c r="B301" s="62" t="s">
        <v>234</v>
      </c>
      <c r="C301" s="62" t="s">
        <v>493</v>
      </c>
      <c r="D301" s="62" t="s">
        <v>639</v>
      </c>
      <c r="E301" s="63" t="s">
        <v>640</v>
      </c>
      <c r="F301" s="62" t="s">
        <v>398</v>
      </c>
      <c r="G301" s="62" t="s">
        <v>183</v>
      </c>
      <c r="H301" s="62" t="s">
        <v>10</v>
      </c>
      <c r="I301" s="62" t="s">
        <v>163</v>
      </c>
      <c r="J301" s="62" t="s">
        <v>273</v>
      </c>
      <c r="K301" s="62" t="s">
        <v>234</v>
      </c>
      <c r="L301" s="64">
        <v>86</v>
      </c>
      <c r="M301" s="64">
        <f t="shared" si="102"/>
        <v>70.823529411764696</v>
      </c>
      <c r="N301" s="65">
        <f>prodnorm13</f>
        <v>0</v>
      </c>
      <c r="O301" s="66">
        <f>dagwerk13</f>
        <v>0</v>
      </c>
      <c r="P301" s="62" t="s">
        <v>38</v>
      </c>
      <c r="Q301" s="67">
        <f>uurtarief13</f>
        <v>0</v>
      </c>
      <c r="R301" s="64" t="e">
        <f t="shared" si="103"/>
        <v>#DIV/0!</v>
      </c>
      <c r="S301" s="64" t="e">
        <f t="shared" si="104"/>
        <v>#DIV/0!</v>
      </c>
      <c r="T301" s="67" t="e">
        <f t="shared" si="105"/>
        <v>#DIV/0!</v>
      </c>
      <c r="U301" s="64" t="e">
        <f t="shared" si="106"/>
        <v>#DIV/0!</v>
      </c>
      <c r="V301" s="68" t="e">
        <f t="shared" si="107"/>
        <v>#DIV/0!</v>
      </c>
    </row>
    <row r="302" spans="1:22" x14ac:dyDescent="0.3">
      <c r="A302" s="61" t="s">
        <v>524</v>
      </c>
      <c r="B302" s="62" t="s">
        <v>234</v>
      </c>
      <c r="C302" s="62" t="s">
        <v>493</v>
      </c>
      <c r="D302" s="62" t="s">
        <v>641</v>
      </c>
      <c r="E302" s="63" t="s">
        <v>642</v>
      </c>
      <c r="F302" s="62" t="s">
        <v>398</v>
      </c>
      <c r="G302" s="62" t="s">
        <v>195</v>
      </c>
      <c r="H302" s="62" t="s">
        <v>13</v>
      </c>
      <c r="I302" s="62" t="s">
        <v>163</v>
      </c>
      <c r="J302" s="62" t="s">
        <v>273</v>
      </c>
      <c r="K302" s="62" t="s">
        <v>234</v>
      </c>
      <c r="L302" s="64">
        <v>33</v>
      </c>
      <c r="M302" s="64">
        <f t="shared" si="102"/>
        <v>13.588235294117647</v>
      </c>
      <c r="N302" s="65">
        <f>prodnorm20</f>
        <v>0</v>
      </c>
      <c r="O302" s="66">
        <f>dagwerk20</f>
        <v>0</v>
      </c>
      <c r="P302" s="62" t="s">
        <v>38</v>
      </c>
      <c r="Q302" s="67">
        <f>uurtarief20</f>
        <v>0</v>
      </c>
      <c r="R302" s="64" t="e">
        <f t="shared" si="103"/>
        <v>#DIV/0!</v>
      </c>
      <c r="S302" s="64" t="e">
        <f t="shared" si="104"/>
        <v>#DIV/0!</v>
      </c>
      <c r="T302" s="67" t="e">
        <f t="shared" si="105"/>
        <v>#DIV/0!</v>
      </c>
      <c r="U302" s="64" t="e">
        <f t="shared" si="106"/>
        <v>#DIV/0!</v>
      </c>
      <c r="V302" s="68" t="e">
        <f t="shared" si="107"/>
        <v>#DIV/0!</v>
      </c>
    </row>
    <row r="303" spans="1:22" x14ac:dyDescent="0.3">
      <c r="A303" s="61" t="s">
        <v>524</v>
      </c>
      <c r="B303" s="62" t="s">
        <v>234</v>
      </c>
      <c r="C303" s="62" t="s">
        <v>493</v>
      </c>
      <c r="D303" s="62" t="s">
        <v>643</v>
      </c>
      <c r="E303" s="63" t="s">
        <v>644</v>
      </c>
      <c r="F303" s="62" t="s">
        <v>398</v>
      </c>
      <c r="G303" s="62" t="s">
        <v>195</v>
      </c>
      <c r="H303" s="62" t="s">
        <v>13</v>
      </c>
      <c r="I303" s="62" t="s">
        <v>163</v>
      </c>
      <c r="J303" s="62" t="s">
        <v>273</v>
      </c>
      <c r="K303" s="62" t="s">
        <v>234</v>
      </c>
      <c r="L303" s="64">
        <v>33</v>
      </c>
      <c r="M303" s="64">
        <f t="shared" si="102"/>
        <v>13.588235294117647</v>
      </c>
      <c r="N303" s="65">
        <f>prodnorm20</f>
        <v>0</v>
      </c>
      <c r="O303" s="66">
        <f>dagwerk20</f>
        <v>0</v>
      </c>
      <c r="P303" s="62" t="s">
        <v>38</v>
      </c>
      <c r="Q303" s="67">
        <f>uurtarief20</f>
        <v>0</v>
      </c>
      <c r="R303" s="64" t="e">
        <f t="shared" si="103"/>
        <v>#DIV/0!</v>
      </c>
      <c r="S303" s="64" t="e">
        <f t="shared" si="104"/>
        <v>#DIV/0!</v>
      </c>
      <c r="T303" s="67" t="e">
        <f t="shared" si="105"/>
        <v>#DIV/0!</v>
      </c>
      <c r="U303" s="64" t="e">
        <f t="shared" si="106"/>
        <v>#DIV/0!</v>
      </c>
      <c r="V303" s="68" t="e">
        <f t="shared" si="107"/>
        <v>#DIV/0!</v>
      </c>
    </row>
    <row r="304" spans="1:22" x14ac:dyDescent="0.3">
      <c r="A304" s="61" t="s">
        <v>524</v>
      </c>
      <c r="B304" s="62" t="s">
        <v>234</v>
      </c>
      <c r="C304" s="62" t="s">
        <v>493</v>
      </c>
      <c r="D304" s="62" t="s">
        <v>645</v>
      </c>
      <c r="E304" s="63" t="s">
        <v>646</v>
      </c>
      <c r="F304" s="62" t="s">
        <v>398</v>
      </c>
      <c r="G304" s="62" t="s">
        <v>195</v>
      </c>
      <c r="H304" s="62" t="s">
        <v>13</v>
      </c>
      <c r="I304" s="62" t="s">
        <v>163</v>
      </c>
      <c r="J304" s="62" t="s">
        <v>273</v>
      </c>
      <c r="K304" s="62" t="s">
        <v>234</v>
      </c>
      <c r="L304" s="64">
        <v>33</v>
      </c>
      <c r="M304" s="64">
        <f t="shared" si="102"/>
        <v>13.588235294117647</v>
      </c>
      <c r="N304" s="65">
        <f>prodnorm20</f>
        <v>0</v>
      </c>
      <c r="O304" s="66">
        <f>dagwerk20</f>
        <v>0</v>
      </c>
      <c r="P304" s="62" t="s">
        <v>38</v>
      </c>
      <c r="Q304" s="67">
        <f>uurtarief20</f>
        <v>0</v>
      </c>
      <c r="R304" s="64" t="e">
        <f t="shared" si="103"/>
        <v>#DIV/0!</v>
      </c>
      <c r="S304" s="64" t="e">
        <f t="shared" si="104"/>
        <v>#DIV/0!</v>
      </c>
      <c r="T304" s="67" t="e">
        <f t="shared" si="105"/>
        <v>#DIV/0!</v>
      </c>
      <c r="U304" s="64" t="e">
        <f t="shared" si="106"/>
        <v>#DIV/0!</v>
      </c>
      <c r="V304" s="68" t="e">
        <f t="shared" si="107"/>
        <v>#DIV/0!</v>
      </c>
    </row>
    <row r="305" spans="1:22" x14ac:dyDescent="0.3">
      <c r="A305" s="61" t="s">
        <v>524</v>
      </c>
      <c r="B305" s="62" t="s">
        <v>234</v>
      </c>
      <c r="C305" s="62" t="s">
        <v>493</v>
      </c>
      <c r="D305" s="62" t="s">
        <v>647</v>
      </c>
      <c r="E305" s="63" t="s">
        <v>648</v>
      </c>
      <c r="F305" s="62" t="s">
        <v>398</v>
      </c>
      <c r="G305" s="62" t="s">
        <v>189</v>
      </c>
      <c r="H305" s="62" t="s">
        <v>10</v>
      </c>
      <c r="I305" s="62" t="s">
        <v>163</v>
      </c>
      <c r="J305" s="62" t="s">
        <v>273</v>
      </c>
      <c r="K305" s="62" t="s">
        <v>234</v>
      </c>
      <c r="L305" s="64">
        <v>17</v>
      </c>
      <c r="M305" s="64">
        <f t="shared" si="102"/>
        <v>14</v>
      </c>
      <c r="N305" s="65">
        <f>prodnorm16</f>
        <v>0</v>
      </c>
      <c r="O305" s="66">
        <f>dagwerk16</f>
        <v>0</v>
      </c>
      <c r="P305" s="62" t="s">
        <v>38</v>
      </c>
      <c r="Q305" s="67">
        <f>uurtarief16</f>
        <v>0</v>
      </c>
      <c r="R305" s="64" t="e">
        <f t="shared" si="103"/>
        <v>#DIV/0!</v>
      </c>
      <c r="S305" s="64" t="e">
        <f t="shared" si="104"/>
        <v>#DIV/0!</v>
      </c>
      <c r="T305" s="67" t="e">
        <f t="shared" si="105"/>
        <v>#DIV/0!</v>
      </c>
      <c r="U305" s="64" t="e">
        <f t="shared" si="106"/>
        <v>#DIV/0!</v>
      </c>
      <c r="V305" s="68" t="e">
        <f t="shared" si="107"/>
        <v>#DIV/0!</v>
      </c>
    </row>
    <row r="306" spans="1:22" ht="28.8" x14ac:dyDescent="0.3">
      <c r="A306" s="61" t="s">
        <v>524</v>
      </c>
      <c r="B306" s="62" t="s">
        <v>234</v>
      </c>
      <c r="C306" s="62" t="s">
        <v>493</v>
      </c>
      <c r="D306" s="62" t="s">
        <v>649</v>
      </c>
      <c r="E306" s="63" t="s">
        <v>650</v>
      </c>
      <c r="F306" s="62" t="s">
        <v>398</v>
      </c>
      <c r="G306" s="62" t="s">
        <v>207</v>
      </c>
      <c r="H306" s="62" t="s">
        <v>10</v>
      </c>
      <c r="I306" s="62" t="s">
        <v>163</v>
      </c>
      <c r="J306" s="62" t="s">
        <v>239</v>
      </c>
      <c r="K306" s="62" t="s">
        <v>234</v>
      </c>
      <c r="L306" s="64">
        <v>214</v>
      </c>
      <c r="M306" s="64">
        <f t="shared" si="102"/>
        <v>176.23529411764704</v>
      </c>
      <c r="N306" s="65">
        <f>prodnorm26</f>
        <v>0</v>
      </c>
      <c r="O306" s="66">
        <f>dagwerk26</f>
        <v>0</v>
      </c>
      <c r="P306" s="62" t="s">
        <v>38</v>
      </c>
      <c r="Q306" s="67">
        <f>uurtarief26</f>
        <v>0</v>
      </c>
      <c r="R306" s="64" t="e">
        <f t="shared" si="103"/>
        <v>#DIV/0!</v>
      </c>
      <c r="S306" s="64" t="e">
        <f t="shared" si="104"/>
        <v>#DIV/0!</v>
      </c>
      <c r="T306" s="67" t="e">
        <f t="shared" si="105"/>
        <v>#DIV/0!</v>
      </c>
      <c r="U306" s="64" t="e">
        <f t="shared" si="106"/>
        <v>#DIV/0!</v>
      </c>
      <c r="V306" s="68" t="e">
        <f t="shared" si="107"/>
        <v>#DIV/0!</v>
      </c>
    </row>
    <row r="307" spans="1:22" x14ac:dyDescent="0.3">
      <c r="A307" s="61" t="s">
        <v>524</v>
      </c>
      <c r="B307" s="62" t="s">
        <v>234</v>
      </c>
      <c r="C307" s="62" t="s">
        <v>493</v>
      </c>
      <c r="D307" s="62" t="s">
        <v>651</v>
      </c>
      <c r="E307" s="63" t="s">
        <v>652</v>
      </c>
      <c r="F307" s="62" t="s">
        <v>398</v>
      </c>
      <c r="G307" s="62" t="s">
        <v>179</v>
      </c>
      <c r="H307" s="62" t="s">
        <v>13</v>
      </c>
      <c r="I307" s="62" t="s">
        <v>163</v>
      </c>
      <c r="J307" s="62" t="s">
        <v>273</v>
      </c>
      <c r="K307" s="62" t="s">
        <v>234</v>
      </c>
      <c r="L307" s="64">
        <v>53</v>
      </c>
      <c r="M307" s="64">
        <f t="shared" si="102"/>
        <v>21.823529411764707</v>
      </c>
      <c r="N307" s="65">
        <f>prodnorm10</f>
        <v>0</v>
      </c>
      <c r="O307" s="66">
        <f>dagwerk10</f>
        <v>0</v>
      </c>
      <c r="P307" s="62" t="s">
        <v>38</v>
      </c>
      <c r="Q307" s="67">
        <f>uurtarief10</f>
        <v>0</v>
      </c>
      <c r="R307" s="64" t="e">
        <f t="shared" si="103"/>
        <v>#DIV/0!</v>
      </c>
      <c r="S307" s="64" t="e">
        <f t="shared" si="104"/>
        <v>#DIV/0!</v>
      </c>
      <c r="T307" s="67" t="e">
        <f t="shared" si="105"/>
        <v>#DIV/0!</v>
      </c>
      <c r="U307" s="64" t="e">
        <f t="shared" si="106"/>
        <v>#DIV/0!</v>
      </c>
      <c r="V307" s="68" t="e">
        <f t="shared" si="107"/>
        <v>#DIV/0!</v>
      </c>
    </row>
    <row r="308" spans="1:22" x14ac:dyDescent="0.3">
      <c r="A308" s="61" t="s">
        <v>524</v>
      </c>
      <c r="B308" s="62" t="s">
        <v>234</v>
      </c>
      <c r="C308" s="62" t="s">
        <v>493</v>
      </c>
      <c r="D308" s="62" t="s">
        <v>653</v>
      </c>
      <c r="E308" s="63" t="s">
        <v>652</v>
      </c>
      <c r="F308" s="62" t="s">
        <v>398</v>
      </c>
      <c r="G308" s="62" t="s">
        <v>179</v>
      </c>
      <c r="H308" s="62" t="s">
        <v>13</v>
      </c>
      <c r="I308" s="62" t="s">
        <v>163</v>
      </c>
      <c r="J308" s="62" t="s">
        <v>273</v>
      </c>
      <c r="K308" s="62" t="s">
        <v>234</v>
      </c>
      <c r="L308" s="64">
        <v>56</v>
      </c>
      <c r="M308" s="64">
        <f t="shared" si="102"/>
        <v>23.058823529411764</v>
      </c>
      <c r="N308" s="65">
        <f>prodnorm10</f>
        <v>0</v>
      </c>
      <c r="O308" s="66">
        <f>dagwerk10</f>
        <v>0</v>
      </c>
      <c r="P308" s="62" t="s">
        <v>38</v>
      </c>
      <c r="Q308" s="67">
        <f>uurtarief10</f>
        <v>0</v>
      </c>
      <c r="R308" s="64" t="e">
        <f t="shared" si="103"/>
        <v>#DIV/0!</v>
      </c>
      <c r="S308" s="64" t="e">
        <f t="shared" si="104"/>
        <v>#DIV/0!</v>
      </c>
      <c r="T308" s="67" t="e">
        <f t="shared" si="105"/>
        <v>#DIV/0!</v>
      </c>
      <c r="U308" s="64" t="e">
        <f t="shared" si="106"/>
        <v>#DIV/0!</v>
      </c>
      <c r="V308" s="68" t="e">
        <f t="shared" si="107"/>
        <v>#DIV/0!</v>
      </c>
    </row>
    <row r="309" spans="1:22" x14ac:dyDescent="0.3">
      <c r="A309" s="61" t="s">
        <v>524</v>
      </c>
      <c r="B309" s="62" t="s">
        <v>234</v>
      </c>
      <c r="C309" s="62" t="s">
        <v>493</v>
      </c>
      <c r="D309" s="62" t="s">
        <v>654</v>
      </c>
      <c r="E309" s="63" t="s">
        <v>652</v>
      </c>
      <c r="F309" s="62" t="s">
        <v>398</v>
      </c>
      <c r="G309" s="62" t="s">
        <v>179</v>
      </c>
      <c r="H309" s="62" t="s">
        <v>13</v>
      </c>
      <c r="I309" s="62" t="s">
        <v>163</v>
      </c>
      <c r="J309" s="62" t="s">
        <v>273</v>
      </c>
      <c r="K309" s="62" t="s">
        <v>234</v>
      </c>
      <c r="L309" s="64">
        <v>56</v>
      </c>
      <c r="M309" s="64">
        <f t="shared" si="102"/>
        <v>23.058823529411764</v>
      </c>
      <c r="N309" s="65">
        <f>prodnorm10</f>
        <v>0</v>
      </c>
      <c r="O309" s="66">
        <f>dagwerk10</f>
        <v>0</v>
      </c>
      <c r="P309" s="62" t="s">
        <v>38</v>
      </c>
      <c r="Q309" s="67">
        <f>uurtarief10</f>
        <v>0</v>
      </c>
      <c r="R309" s="64" t="e">
        <f t="shared" si="103"/>
        <v>#DIV/0!</v>
      </c>
      <c r="S309" s="64" t="e">
        <f t="shared" si="104"/>
        <v>#DIV/0!</v>
      </c>
      <c r="T309" s="67" t="e">
        <f t="shared" si="105"/>
        <v>#DIV/0!</v>
      </c>
      <c r="U309" s="64" t="e">
        <f t="shared" si="106"/>
        <v>#DIV/0!</v>
      </c>
      <c r="V309" s="68" t="e">
        <f t="shared" si="107"/>
        <v>#DIV/0!</v>
      </c>
    </row>
    <row r="310" spans="1:22" x14ac:dyDescent="0.3">
      <c r="A310" s="61" t="s">
        <v>524</v>
      </c>
      <c r="B310" s="62" t="s">
        <v>234</v>
      </c>
      <c r="C310" s="62" t="s">
        <v>493</v>
      </c>
      <c r="D310" s="62" t="s">
        <v>655</v>
      </c>
      <c r="E310" s="63" t="s">
        <v>656</v>
      </c>
      <c r="F310" s="62" t="s">
        <v>398</v>
      </c>
      <c r="G310" s="62" t="s">
        <v>193</v>
      </c>
      <c r="H310" s="62" t="s">
        <v>10</v>
      </c>
      <c r="I310" s="62" t="s">
        <v>163</v>
      </c>
      <c r="J310" s="62" t="s">
        <v>273</v>
      </c>
      <c r="K310" s="62" t="s">
        <v>234</v>
      </c>
      <c r="L310" s="64">
        <v>97</v>
      </c>
      <c r="M310" s="64">
        <f t="shared" si="102"/>
        <v>79.882352941176464</v>
      </c>
      <c r="N310" s="65">
        <f>prodnorm19</f>
        <v>0</v>
      </c>
      <c r="O310" s="66">
        <f>dagwerk19</f>
        <v>0</v>
      </c>
      <c r="P310" s="62" t="s">
        <v>38</v>
      </c>
      <c r="Q310" s="67">
        <f>uurtarief19</f>
        <v>0</v>
      </c>
      <c r="R310" s="64" t="e">
        <f t="shared" si="103"/>
        <v>#DIV/0!</v>
      </c>
      <c r="S310" s="64" t="e">
        <f t="shared" si="104"/>
        <v>#DIV/0!</v>
      </c>
      <c r="T310" s="67" t="e">
        <f t="shared" si="105"/>
        <v>#DIV/0!</v>
      </c>
      <c r="U310" s="64" t="e">
        <f t="shared" si="106"/>
        <v>#DIV/0!</v>
      </c>
      <c r="V310" s="68" t="e">
        <f t="shared" si="107"/>
        <v>#DIV/0!</v>
      </c>
    </row>
    <row r="311" spans="1:22" x14ac:dyDescent="0.3">
      <c r="A311" s="61" t="s">
        <v>524</v>
      </c>
      <c r="B311" s="62" t="s">
        <v>234</v>
      </c>
      <c r="C311" s="62" t="s">
        <v>493</v>
      </c>
      <c r="D311" s="62" t="s">
        <v>657</v>
      </c>
      <c r="E311" s="63" t="s">
        <v>652</v>
      </c>
      <c r="F311" s="62" t="s">
        <v>398</v>
      </c>
      <c r="G311" s="62" t="s">
        <v>179</v>
      </c>
      <c r="H311" s="62" t="s">
        <v>13</v>
      </c>
      <c r="I311" s="62" t="s">
        <v>163</v>
      </c>
      <c r="J311" s="62" t="s">
        <v>273</v>
      </c>
      <c r="K311" s="62" t="s">
        <v>234</v>
      </c>
      <c r="L311" s="64">
        <v>57</v>
      </c>
      <c r="M311" s="64">
        <f t="shared" si="102"/>
        <v>23.470588235294116</v>
      </c>
      <c r="N311" s="65">
        <f>prodnorm10</f>
        <v>0</v>
      </c>
      <c r="O311" s="66">
        <f>dagwerk10</f>
        <v>0</v>
      </c>
      <c r="P311" s="62" t="s">
        <v>38</v>
      </c>
      <c r="Q311" s="67">
        <f>uurtarief10</f>
        <v>0</v>
      </c>
      <c r="R311" s="64" t="e">
        <f t="shared" si="103"/>
        <v>#DIV/0!</v>
      </c>
      <c r="S311" s="64" t="e">
        <f t="shared" si="104"/>
        <v>#DIV/0!</v>
      </c>
      <c r="T311" s="67" t="e">
        <f t="shared" si="105"/>
        <v>#DIV/0!</v>
      </c>
      <c r="U311" s="64" t="e">
        <f t="shared" si="106"/>
        <v>#DIV/0!</v>
      </c>
      <c r="V311" s="68" t="e">
        <f t="shared" si="107"/>
        <v>#DIV/0!</v>
      </c>
    </row>
    <row r="312" spans="1:22" ht="28.8" x14ac:dyDescent="0.3">
      <c r="A312" s="61" t="s">
        <v>524</v>
      </c>
      <c r="B312" s="62" t="s">
        <v>234</v>
      </c>
      <c r="C312" s="62" t="s">
        <v>493</v>
      </c>
      <c r="D312" s="62" t="s">
        <v>658</v>
      </c>
      <c r="E312" s="63" t="s">
        <v>659</v>
      </c>
      <c r="F312" s="62" t="s">
        <v>398</v>
      </c>
      <c r="G312" s="62" t="s">
        <v>207</v>
      </c>
      <c r="H312" s="62" t="s">
        <v>10</v>
      </c>
      <c r="I312" s="62" t="s">
        <v>163</v>
      </c>
      <c r="J312" s="62" t="s">
        <v>239</v>
      </c>
      <c r="K312" s="62" t="s">
        <v>234</v>
      </c>
      <c r="L312" s="64">
        <v>190</v>
      </c>
      <c r="M312" s="64">
        <f t="shared" si="102"/>
        <v>156.47058823529412</v>
      </c>
      <c r="N312" s="65">
        <f>prodnorm26</f>
        <v>0</v>
      </c>
      <c r="O312" s="66">
        <f>dagwerk26</f>
        <v>0</v>
      </c>
      <c r="P312" s="62" t="s">
        <v>38</v>
      </c>
      <c r="Q312" s="67">
        <f>uurtarief26</f>
        <v>0</v>
      </c>
      <c r="R312" s="64" t="e">
        <f t="shared" si="103"/>
        <v>#DIV/0!</v>
      </c>
      <c r="S312" s="64" t="e">
        <f t="shared" si="104"/>
        <v>#DIV/0!</v>
      </c>
      <c r="T312" s="67" t="e">
        <f t="shared" si="105"/>
        <v>#DIV/0!</v>
      </c>
      <c r="U312" s="64" t="e">
        <f t="shared" si="106"/>
        <v>#DIV/0!</v>
      </c>
      <c r="V312" s="68" t="e">
        <f t="shared" si="107"/>
        <v>#DIV/0!</v>
      </c>
    </row>
    <row r="313" spans="1:22" x14ac:dyDescent="0.3">
      <c r="A313" s="61" t="s">
        <v>524</v>
      </c>
      <c r="B313" s="62" t="s">
        <v>234</v>
      </c>
      <c r="C313" s="62" t="s">
        <v>493</v>
      </c>
      <c r="D313" s="62" t="s">
        <v>660</v>
      </c>
      <c r="E313" s="63" t="s">
        <v>661</v>
      </c>
      <c r="F313" s="62" t="s">
        <v>398</v>
      </c>
      <c r="G313" s="62" t="s">
        <v>179</v>
      </c>
      <c r="H313" s="62" t="s">
        <v>13</v>
      </c>
      <c r="I313" s="62" t="s">
        <v>163</v>
      </c>
      <c r="J313" s="62" t="s">
        <v>273</v>
      </c>
      <c r="K313" s="62" t="s">
        <v>234</v>
      </c>
      <c r="L313" s="64">
        <v>28</v>
      </c>
      <c r="M313" s="64">
        <f t="shared" si="102"/>
        <v>11.529411764705882</v>
      </c>
      <c r="N313" s="65">
        <f>prodnorm10</f>
        <v>0</v>
      </c>
      <c r="O313" s="66">
        <f>dagwerk10</f>
        <v>0</v>
      </c>
      <c r="P313" s="62" t="s">
        <v>38</v>
      </c>
      <c r="Q313" s="67">
        <f>uurtarief10</f>
        <v>0</v>
      </c>
      <c r="R313" s="64" t="e">
        <f t="shared" si="103"/>
        <v>#DIV/0!</v>
      </c>
      <c r="S313" s="64" t="e">
        <f t="shared" si="104"/>
        <v>#DIV/0!</v>
      </c>
      <c r="T313" s="67" t="e">
        <f t="shared" si="105"/>
        <v>#DIV/0!</v>
      </c>
      <c r="U313" s="64" t="e">
        <f t="shared" si="106"/>
        <v>#DIV/0!</v>
      </c>
      <c r="V313" s="68" t="e">
        <f t="shared" si="107"/>
        <v>#DIV/0!</v>
      </c>
    </row>
    <row r="314" spans="1:22" x14ac:dyDescent="0.3">
      <c r="A314" s="61" t="s">
        <v>524</v>
      </c>
      <c r="B314" s="62" t="s">
        <v>234</v>
      </c>
      <c r="C314" s="62" t="s">
        <v>493</v>
      </c>
      <c r="D314" s="62" t="s">
        <v>662</v>
      </c>
      <c r="E314" s="63" t="s">
        <v>663</v>
      </c>
      <c r="F314" s="62" t="s">
        <v>398</v>
      </c>
      <c r="G314" s="62" t="s">
        <v>205</v>
      </c>
      <c r="H314" s="62" t="s">
        <v>10</v>
      </c>
      <c r="I314" s="62" t="s">
        <v>163</v>
      </c>
      <c r="J314" s="62" t="s">
        <v>273</v>
      </c>
      <c r="K314" s="62" t="s">
        <v>234</v>
      </c>
      <c r="L314" s="64">
        <v>15</v>
      </c>
      <c r="M314" s="64">
        <f t="shared" si="102"/>
        <v>12.352941176470587</v>
      </c>
      <c r="N314" s="65">
        <f>prodnorm25</f>
        <v>0</v>
      </c>
      <c r="O314" s="66">
        <f>dagwerk25</f>
        <v>0</v>
      </c>
      <c r="P314" s="62" t="s">
        <v>38</v>
      </c>
      <c r="Q314" s="67">
        <f>uurtarief25</f>
        <v>0</v>
      </c>
      <c r="R314" s="64" t="e">
        <f t="shared" si="103"/>
        <v>#DIV/0!</v>
      </c>
      <c r="S314" s="64" t="e">
        <f t="shared" si="104"/>
        <v>#DIV/0!</v>
      </c>
      <c r="T314" s="67" t="e">
        <f t="shared" si="105"/>
        <v>#DIV/0!</v>
      </c>
      <c r="U314" s="64" t="e">
        <f t="shared" si="106"/>
        <v>#DIV/0!</v>
      </c>
      <c r="V314" s="68" t="e">
        <f t="shared" si="107"/>
        <v>#DIV/0!</v>
      </c>
    </row>
    <row r="315" spans="1:22" x14ac:dyDescent="0.3">
      <c r="A315" s="61" t="s">
        <v>524</v>
      </c>
      <c r="B315" s="62" t="s">
        <v>234</v>
      </c>
      <c r="C315" s="62" t="s">
        <v>493</v>
      </c>
      <c r="D315" s="62" t="s">
        <v>664</v>
      </c>
      <c r="E315" s="63" t="s">
        <v>556</v>
      </c>
      <c r="F315" s="62" t="s">
        <v>609</v>
      </c>
      <c r="G315" s="62" t="s">
        <v>162</v>
      </c>
      <c r="H315" s="62" t="s">
        <v>13</v>
      </c>
      <c r="I315" s="62" t="s">
        <v>163</v>
      </c>
      <c r="J315" s="62" t="s">
        <v>261</v>
      </c>
      <c r="K315" s="62" t="s">
        <v>234</v>
      </c>
      <c r="L315" s="64">
        <v>12</v>
      </c>
      <c r="M315" s="64">
        <f t="shared" si="102"/>
        <v>4.9411764705882355</v>
      </c>
      <c r="N315" s="65">
        <f>prodnorm1</f>
        <v>0</v>
      </c>
      <c r="O315" s="66">
        <f>dagwerk1</f>
        <v>0</v>
      </c>
      <c r="P315" s="62" t="s">
        <v>38</v>
      </c>
      <c r="Q315" s="67">
        <f>uurtarief1</f>
        <v>0</v>
      </c>
      <c r="R315" s="64" t="e">
        <f t="shared" si="103"/>
        <v>#DIV/0!</v>
      </c>
      <c r="S315" s="64" t="e">
        <f t="shared" si="104"/>
        <v>#DIV/0!</v>
      </c>
      <c r="T315" s="67" t="e">
        <f t="shared" si="105"/>
        <v>#DIV/0!</v>
      </c>
      <c r="U315" s="64" t="e">
        <f t="shared" si="106"/>
        <v>#DIV/0!</v>
      </c>
      <c r="V315" s="68" t="e">
        <f t="shared" si="107"/>
        <v>#DIV/0!</v>
      </c>
    </row>
    <row r="316" spans="1:22" x14ac:dyDescent="0.3">
      <c r="A316" s="61" t="s">
        <v>524</v>
      </c>
      <c r="B316" s="62" t="s">
        <v>234</v>
      </c>
      <c r="C316" s="62" t="s">
        <v>493</v>
      </c>
      <c r="D316" s="62" t="s">
        <v>665</v>
      </c>
      <c r="E316" s="63" t="s">
        <v>556</v>
      </c>
      <c r="F316" s="62" t="s">
        <v>609</v>
      </c>
      <c r="G316" s="62" t="s">
        <v>162</v>
      </c>
      <c r="H316" s="62" t="s">
        <v>13</v>
      </c>
      <c r="I316" s="62" t="s">
        <v>163</v>
      </c>
      <c r="J316" s="62" t="s">
        <v>261</v>
      </c>
      <c r="K316" s="62" t="s">
        <v>234</v>
      </c>
      <c r="L316" s="64">
        <v>12</v>
      </c>
      <c r="M316" s="64">
        <f t="shared" si="102"/>
        <v>4.9411764705882355</v>
      </c>
      <c r="N316" s="65">
        <f>prodnorm1</f>
        <v>0</v>
      </c>
      <c r="O316" s="66">
        <f>dagwerk1</f>
        <v>0</v>
      </c>
      <c r="P316" s="62" t="s">
        <v>38</v>
      </c>
      <c r="Q316" s="67">
        <f>uurtarief1</f>
        <v>0</v>
      </c>
      <c r="R316" s="64" t="e">
        <f t="shared" si="103"/>
        <v>#DIV/0!</v>
      </c>
      <c r="S316" s="64" t="e">
        <f t="shared" si="104"/>
        <v>#DIV/0!</v>
      </c>
      <c r="T316" s="67" t="e">
        <f t="shared" si="105"/>
        <v>#DIV/0!</v>
      </c>
      <c r="U316" s="64" t="e">
        <f t="shared" si="106"/>
        <v>#DIV/0!</v>
      </c>
      <c r="V316" s="68" t="e">
        <f t="shared" si="107"/>
        <v>#DIV/0!</v>
      </c>
    </row>
    <row r="317" spans="1:22" x14ac:dyDescent="0.3">
      <c r="A317" s="61" t="s">
        <v>524</v>
      </c>
      <c r="B317" s="62" t="s">
        <v>234</v>
      </c>
      <c r="C317" s="62" t="s">
        <v>493</v>
      </c>
      <c r="D317" s="62" t="s">
        <v>666</v>
      </c>
      <c r="E317" s="63" t="s">
        <v>388</v>
      </c>
      <c r="F317" s="62" t="s">
        <v>564</v>
      </c>
      <c r="G317" s="62" t="s">
        <v>203</v>
      </c>
      <c r="H317" s="62" t="s">
        <v>10</v>
      </c>
      <c r="I317" s="62" t="s">
        <v>163</v>
      </c>
      <c r="J317" s="62" t="s">
        <v>246</v>
      </c>
      <c r="K317" s="62" t="s">
        <v>234</v>
      </c>
      <c r="L317" s="64">
        <v>6</v>
      </c>
      <c r="M317" s="64">
        <f t="shared" si="102"/>
        <v>4.9411764705882355</v>
      </c>
      <c r="N317" s="65">
        <f>prodnorm24</f>
        <v>0</v>
      </c>
      <c r="O317" s="66">
        <f>dagwerk24</f>
        <v>0</v>
      </c>
      <c r="P317" s="62" t="s">
        <v>38</v>
      </c>
      <c r="Q317" s="67">
        <f>uurtarief24</f>
        <v>0</v>
      </c>
      <c r="R317" s="64" t="e">
        <f t="shared" si="103"/>
        <v>#DIV/0!</v>
      </c>
      <c r="S317" s="64" t="e">
        <f t="shared" si="104"/>
        <v>#DIV/0!</v>
      </c>
      <c r="T317" s="67" t="e">
        <f t="shared" si="105"/>
        <v>#DIV/0!</v>
      </c>
      <c r="U317" s="64" t="e">
        <f t="shared" si="106"/>
        <v>#DIV/0!</v>
      </c>
      <c r="V317" s="68" t="e">
        <f t="shared" si="107"/>
        <v>#DIV/0!</v>
      </c>
    </row>
    <row r="318" spans="1:22" x14ac:dyDescent="0.3">
      <c r="A318" s="61" t="s">
        <v>524</v>
      </c>
      <c r="B318" s="62" t="s">
        <v>234</v>
      </c>
      <c r="C318" s="62" t="s">
        <v>493</v>
      </c>
      <c r="D318" s="62" t="s">
        <v>667</v>
      </c>
      <c r="E318" s="63" t="s">
        <v>388</v>
      </c>
      <c r="F318" s="62" t="s">
        <v>564</v>
      </c>
      <c r="G318" s="62" t="s">
        <v>203</v>
      </c>
      <c r="H318" s="62" t="s">
        <v>10</v>
      </c>
      <c r="I318" s="62" t="s">
        <v>163</v>
      </c>
      <c r="J318" s="62" t="s">
        <v>246</v>
      </c>
      <c r="K318" s="62" t="s">
        <v>234</v>
      </c>
      <c r="L318" s="64">
        <v>8</v>
      </c>
      <c r="M318" s="64">
        <f t="shared" si="102"/>
        <v>6.5882352941176467</v>
      </c>
      <c r="N318" s="65">
        <f>prodnorm24</f>
        <v>0</v>
      </c>
      <c r="O318" s="66">
        <f>dagwerk24</f>
        <v>0</v>
      </c>
      <c r="P318" s="62" t="s">
        <v>38</v>
      </c>
      <c r="Q318" s="67">
        <f>uurtarief24</f>
        <v>0</v>
      </c>
      <c r="R318" s="64" t="e">
        <f t="shared" si="103"/>
        <v>#DIV/0!</v>
      </c>
      <c r="S318" s="64" t="e">
        <f t="shared" si="104"/>
        <v>#DIV/0!</v>
      </c>
      <c r="T318" s="67" t="e">
        <f t="shared" si="105"/>
        <v>#DIV/0!</v>
      </c>
      <c r="U318" s="64" t="e">
        <f t="shared" si="106"/>
        <v>#DIV/0!</v>
      </c>
      <c r="V318" s="68" t="e">
        <f t="shared" si="107"/>
        <v>#DIV/0!</v>
      </c>
    </row>
    <row r="319" spans="1:22" x14ac:dyDescent="0.3">
      <c r="A319" s="61" t="s">
        <v>524</v>
      </c>
      <c r="B319" s="62" t="s">
        <v>234</v>
      </c>
      <c r="C319" s="62" t="s">
        <v>493</v>
      </c>
      <c r="D319" s="62" t="s">
        <v>668</v>
      </c>
      <c r="E319" s="63" t="s">
        <v>338</v>
      </c>
      <c r="F319" s="62" t="s">
        <v>564</v>
      </c>
      <c r="G319" s="62" t="s">
        <v>203</v>
      </c>
      <c r="H319" s="62" t="s">
        <v>10</v>
      </c>
      <c r="I319" s="62" t="s">
        <v>163</v>
      </c>
      <c r="J319" s="62" t="s">
        <v>246</v>
      </c>
      <c r="K319" s="62" t="s">
        <v>234</v>
      </c>
      <c r="L319" s="64">
        <v>9</v>
      </c>
      <c r="M319" s="64">
        <f t="shared" ref="M319:M350" si="108">L319*VLOOKUP(H319,dagsoorttabel1,2,FALSE)</f>
        <v>7.4117647058823524</v>
      </c>
      <c r="N319" s="65">
        <f>prodnorm24</f>
        <v>0</v>
      </c>
      <c r="O319" s="66">
        <f>dagwerk24</f>
        <v>0</v>
      </c>
      <c r="P319" s="62" t="s">
        <v>38</v>
      </c>
      <c r="Q319" s="67">
        <f>uurtarief24</f>
        <v>0</v>
      </c>
      <c r="R319" s="64" t="e">
        <f t="shared" si="103"/>
        <v>#DIV/0!</v>
      </c>
      <c r="S319" s="64" t="e">
        <f t="shared" ref="S319:S350" si="109">IF(ISBLANK(N319),0,R319*ROUND(O319,2))</f>
        <v>#DIV/0!</v>
      </c>
      <c r="T319" s="67" t="e">
        <f t="shared" si="105"/>
        <v>#DIV/0!</v>
      </c>
      <c r="U319" s="64" t="e">
        <f t="shared" si="106"/>
        <v>#DIV/0!</v>
      </c>
      <c r="V319" s="68" t="e">
        <f t="shared" ref="V319:V350" si="110">U319*ROUND(Q319,2)</f>
        <v>#DIV/0!</v>
      </c>
    </row>
    <row r="320" spans="1:22" x14ac:dyDescent="0.3">
      <c r="A320" s="61" t="s">
        <v>524</v>
      </c>
      <c r="B320" s="62" t="s">
        <v>234</v>
      </c>
      <c r="C320" s="62" t="s">
        <v>493</v>
      </c>
      <c r="D320" s="62" t="s">
        <v>669</v>
      </c>
      <c r="E320" s="63" t="s">
        <v>568</v>
      </c>
      <c r="F320" s="62" t="s">
        <v>564</v>
      </c>
      <c r="G320" s="62" t="s">
        <v>203</v>
      </c>
      <c r="H320" s="62" t="s">
        <v>10</v>
      </c>
      <c r="I320" s="62" t="s">
        <v>163</v>
      </c>
      <c r="J320" s="62" t="s">
        <v>246</v>
      </c>
      <c r="K320" s="62" t="s">
        <v>234</v>
      </c>
      <c r="L320" s="64">
        <v>10</v>
      </c>
      <c r="M320" s="64">
        <f t="shared" si="108"/>
        <v>8.235294117647058</v>
      </c>
      <c r="N320" s="65">
        <f>prodnorm24</f>
        <v>0</v>
      </c>
      <c r="O320" s="66">
        <f>dagwerk24</f>
        <v>0</v>
      </c>
      <c r="P320" s="62" t="s">
        <v>38</v>
      </c>
      <c r="Q320" s="67">
        <f>uurtarief24</f>
        <v>0</v>
      </c>
      <c r="R320" s="64" t="e">
        <f t="shared" si="103"/>
        <v>#DIV/0!</v>
      </c>
      <c r="S320" s="64" t="e">
        <f t="shared" si="109"/>
        <v>#DIV/0!</v>
      </c>
      <c r="T320" s="67" t="e">
        <f t="shared" si="105"/>
        <v>#DIV/0!</v>
      </c>
      <c r="U320" s="64" t="e">
        <f t="shared" si="106"/>
        <v>#DIV/0!</v>
      </c>
      <c r="V320" s="68" t="e">
        <f t="shared" si="110"/>
        <v>#DIV/0!</v>
      </c>
    </row>
    <row r="321" spans="1:22" x14ac:dyDescent="0.3">
      <c r="A321" s="61" t="s">
        <v>524</v>
      </c>
      <c r="B321" s="62" t="s">
        <v>234</v>
      </c>
      <c r="C321" s="62" t="s">
        <v>493</v>
      </c>
      <c r="D321" s="62" t="s">
        <v>670</v>
      </c>
      <c r="E321" s="63" t="s">
        <v>566</v>
      </c>
      <c r="F321" s="62" t="s">
        <v>564</v>
      </c>
      <c r="G321" s="62" t="s">
        <v>203</v>
      </c>
      <c r="H321" s="62" t="s">
        <v>10</v>
      </c>
      <c r="I321" s="62" t="s">
        <v>163</v>
      </c>
      <c r="J321" s="62" t="s">
        <v>246</v>
      </c>
      <c r="K321" s="62" t="s">
        <v>234</v>
      </c>
      <c r="L321" s="64">
        <v>11</v>
      </c>
      <c r="M321" s="64">
        <f t="shared" si="108"/>
        <v>9.0588235294117645</v>
      </c>
      <c r="N321" s="65">
        <f>prodnorm24</f>
        <v>0</v>
      </c>
      <c r="O321" s="66">
        <f>dagwerk24</f>
        <v>0</v>
      </c>
      <c r="P321" s="62" t="s">
        <v>38</v>
      </c>
      <c r="Q321" s="67">
        <f>uurtarief24</f>
        <v>0</v>
      </c>
      <c r="R321" s="64" t="e">
        <f t="shared" si="103"/>
        <v>#DIV/0!</v>
      </c>
      <c r="S321" s="64" t="e">
        <f t="shared" si="109"/>
        <v>#DIV/0!</v>
      </c>
      <c r="T321" s="67" t="e">
        <f t="shared" si="105"/>
        <v>#DIV/0!</v>
      </c>
      <c r="U321" s="64" t="e">
        <f t="shared" si="106"/>
        <v>#DIV/0!</v>
      </c>
      <c r="V321" s="68" t="e">
        <f t="shared" si="110"/>
        <v>#DIV/0!</v>
      </c>
    </row>
    <row r="322" spans="1:22" x14ac:dyDescent="0.3">
      <c r="A322" s="69" t="s">
        <v>524</v>
      </c>
      <c r="B322" s="70" t="s">
        <v>234</v>
      </c>
      <c r="C322" s="70" t="s">
        <v>493</v>
      </c>
      <c r="D322" s="70" t="s">
        <v>671</v>
      </c>
      <c r="E322" s="71" t="s">
        <v>672</v>
      </c>
      <c r="F322" s="70" t="s">
        <v>398</v>
      </c>
      <c r="G322" s="70" t="s">
        <v>205</v>
      </c>
      <c r="H322" s="70" t="s">
        <v>10</v>
      </c>
      <c r="I322" s="70" t="s">
        <v>163</v>
      </c>
      <c r="J322" s="70" t="s">
        <v>273</v>
      </c>
      <c r="K322" s="70" t="s">
        <v>234</v>
      </c>
      <c r="L322" s="72">
        <v>15</v>
      </c>
      <c r="M322" s="72">
        <f t="shared" si="108"/>
        <v>12.352941176470587</v>
      </c>
      <c r="N322" s="73">
        <f>prodnorm25</f>
        <v>0</v>
      </c>
      <c r="O322" s="74">
        <f>dagwerk25</f>
        <v>0</v>
      </c>
      <c r="P322" s="70" t="s">
        <v>38</v>
      </c>
      <c r="Q322" s="75">
        <f>uurtarief25</f>
        <v>0</v>
      </c>
      <c r="R322" s="72" t="e">
        <f t="shared" si="103"/>
        <v>#DIV/0!</v>
      </c>
      <c r="S322" s="72" t="e">
        <f t="shared" si="109"/>
        <v>#DIV/0!</v>
      </c>
      <c r="T322" s="75" t="e">
        <f t="shared" si="105"/>
        <v>#DIV/0!</v>
      </c>
      <c r="U322" s="72" t="e">
        <f t="shared" si="106"/>
        <v>#DIV/0!</v>
      </c>
      <c r="V322" s="76" t="e">
        <f t="shared" si="110"/>
        <v>#DIV/0!</v>
      </c>
    </row>
    <row r="323" spans="1:22" x14ac:dyDescent="0.3">
      <c r="A323" s="43" t="s">
        <v>382</v>
      </c>
      <c r="B323" s="44"/>
      <c r="C323" s="44"/>
      <c r="D323" s="44"/>
      <c r="E323" s="44"/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6" t="e">
        <f>IF(_xlfn.SINGLE(object3_urenjaar1)&gt;0,_xlfn.SINGLE(object3_prijsjaar1)/_xlfn.SINGLE(object3_urenjaar1),0)</f>
        <v>#DIV/0!</v>
      </c>
      <c r="R323" s="45" t="e">
        <f>SUM(R223:R322)</f>
        <v>#DIV/0!</v>
      </c>
      <c r="S323" s="45" t="e">
        <f>SUM(S223:S322)</f>
        <v>#DIV/0!</v>
      </c>
      <c r="T323" s="46" t="e">
        <f>SUM(T223:T322)</f>
        <v>#DIV/0!</v>
      </c>
      <c r="U323" s="45" t="e">
        <f>SUM(U223:U322)</f>
        <v>#DIV/0!</v>
      </c>
      <c r="V323" s="46" t="e">
        <f>SUM(V223:V322)</f>
        <v>#DIV/0!</v>
      </c>
    </row>
  </sheetData>
  <pageMargins left="0.7" right="0.7" top="0.75" bottom="0.75" header="0.3" footer="0.3"/>
  <pageSetup paperSize="9" scale="61" orientation="landscape" horizontalDpi="150" verticalDpi="0" r:id="rId1"/>
  <headerFooter>
    <oddFooter>&amp;LOns Middelbaar Onderwijs                                    
CONCEPT PER 01-01-2022&amp;ROpmaakdatum: 07-12-2021
Intexso - De Start 5 - Leusden
+31 (33) 2778485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EE99C-EED8-4C3C-9B29-73A25E3B6812}">
  <dimension ref="A1:L36"/>
  <sheetViews>
    <sheetView workbookViewId="0"/>
  </sheetViews>
  <sheetFormatPr defaultRowHeight="14.4" x14ac:dyDescent="0.3"/>
  <cols>
    <col min="1" max="1" width="5.77734375" customWidth="1"/>
    <col min="2" max="2" width="6.33203125" customWidth="1"/>
    <col min="3" max="3" width="11.77734375" customWidth="1"/>
    <col min="4" max="12" width="12.77734375" customWidth="1"/>
  </cols>
  <sheetData>
    <row r="1" spans="1:12" x14ac:dyDescent="0.3">
      <c r="A1" s="1" t="s">
        <v>673</v>
      </c>
    </row>
    <row r="3" spans="1:12" x14ac:dyDescent="0.3">
      <c r="A3" s="78" t="s">
        <v>154</v>
      </c>
      <c r="B3" s="78" t="s">
        <v>7</v>
      </c>
      <c r="C3" s="78" t="s">
        <v>674</v>
      </c>
      <c r="D3" s="78" t="s">
        <v>675</v>
      </c>
      <c r="E3" s="78" t="s">
        <v>676</v>
      </c>
      <c r="F3" s="78" t="s">
        <v>677</v>
      </c>
      <c r="G3" s="78" t="s">
        <v>678</v>
      </c>
      <c r="H3" s="78" t="s">
        <v>31</v>
      </c>
      <c r="I3" s="78" t="s">
        <v>679</v>
      </c>
      <c r="J3" s="78" t="s">
        <v>680</v>
      </c>
      <c r="K3" s="78" t="s">
        <v>681</v>
      </c>
      <c r="L3" s="78" t="s">
        <v>682</v>
      </c>
    </row>
    <row r="4" spans="1:12" x14ac:dyDescent="0.3">
      <c r="A4" s="79"/>
      <c r="B4" s="79"/>
      <c r="C4" s="79"/>
      <c r="D4" s="79"/>
      <c r="E4" s="79"/>
      <c r="F4" s="79"/>
      <c r="G4" s="79"/>
      <c r="H4" s="79"/>
      <c r="I4" s="79"/>
      <c r="J4" s="80" t="s">
        <v>156</v>
      </c>
      <c r="K4" s="80" t="s">
        <v>156</v>
      </c>
      <c r="L4" s="80" t="s">
        <v>156</v>
      </c>
    </row>
    <row r="5" spans="1:12" x14ac:dyDescent="0.3">
      <c r="A5" s="15" t="s">
        <v>162</v>
      </c>
      <c r="B5" s="15" t="s">
        <v>13</v>
      </c>
      <c r="C5" s="15" t="s">
        <v>683</v>
      </c>
      <c r="D5" s="15" t="s">
        <v>163</v>
      </c>
      <c r="E5" s="30">
        <f t="shared" ref="E5:E35" si="0">IF(B5="","",VLOOKUP(B5,dagsoorttabel1,2,FALSE))</f>
        <v>0.41176470588235292</v>
      </c>
      <c r="F5" s="30">
        <v>1</v>
      </c>
      <c r="G5" s="30">
        <f>IF(prodnorm1&gt;0,1/ROUND(prodnorm1,4),0)</f>
        <v>0</v>
      </c>
      <c r="H5" s="32">
        <f>ROUND(dagwerk1,4+2)</f>
        <v>0</v>
      </c>
      <c r="I5" s="33">
        <f>ROUND(uurtarief1,2)</f>
        <v>0</v>
      </c>
      <c r="J5" s="30">
        <v>258</v>
      </c>
      <c r="K5" s="30">
        <v>33</v>
      </c>
      <c r="L5" s="30">
        <v>229</v>
      </c>
    </row>
    <row r="6" spans="1:12" x14ac:dyDescent="0.3">
      <c r="A6" s="20" t="s">
        <v>165</v>
      </c>
      <c r="B6" s="20" t="s">
        <v>13</v>
      </c>
      <c r="C6" s="20" t="s">
        <v>683</v>
      </c>
      <c r="D6" s="20" t="s">
        <v>163</v>
      </c>
      <c r="E6" s="34">
        <f t="shared" si="0"/>
        <v>0.41176470588235292</v>
      </c>
      <c r="F6" s="34">
        <v>1</v>
      </c>
      <c r="G6" s="34">
        <f>IF(prodnorm2&gt;0,1/ROUND(prodnorm2,4),0)</f>
        <v>0</v>
      </c>
      <c r="H6" s="36">
        <f>ROUND(dagwerk2,4+2)</f>
        <v>0</v>
      </c>
      <c r="I6" s="37">
        <f>ROUND(uurtarief2,2)</f>
        <v>0</v>
      </c>
      <c r="J6" s="34">
        <v>26</v>
      </c>
      <c r="K6" s="34">
        <v>481</v>
      </c>
      <c r="L6" s="34">
        <v>0</v>
      </c>
    </row>
    <row r="7" spans="1:12" x14ac:dyDescent="0.3">
      <c r="A7" s="20" t="s">
        <v>167</v>
      </c>
      <c r="B7" s="20" t="s">
        <v>10</v>
      </c>
      <c r="C7" s="20" t="s">
        <v>683</v>
      </c>
      <c r="D7" s="20" t="s">
        <v>163</v>
      </c>
      <c r="E7" s="34">
        <f t="shared" si="0"/>
        <v>0.82352941176470584</v>
      </c>
      <c r="F7" s="34">
        <v>1</v>
      </c>
      <c r="G7" s="34">
        <f>IF(prodnorm3&gt;0,1/ROUND(prodnorm3,4),0)</f>
        <v>0</v>
      </c>
      <c r="H7" s="36">
        <f>ROUND(dagwerk3,4+2)</f>
        <v>0</v>
      </c>
      <c r="I7" s="37">
        <f>ROUND(uurtarief3,2)</f>
        <v>0</v>
      </c>
      <c r="J7" s="34">
        <v>314</v>
      </c>
      <c r="K7" s="34">
        <v>879</v>
      </c>
      <c r="L7" s="34">
        <v>0</v>
      </c>
    </row>
    <row r="8" spans="1:12" x14ac:dyDescent="0.3">
      <c r="A8" s="20" t="s">
        <v>169</v>
      </c>
      <c r="B8" s="20" t="s">
        <v>10</v>
      </c>
      <c r="C8" s="20" t="s">
        <v>683</v>
      </c>
      <c r="D8" s="20" t="s">
        <v>163</v>
      </c>
      <c r="E8" s="34">
        <f t="shared" si="0"/>
        <v>0.82352941176470584</v>
      </c>
      <c r="F8" s="34">
        <v>1</v>
      </c>
      <c r="G8" s="34">
        <f>IF(prodnorm4&gt;0,1/ROUND(prodnorm4,4),0)</f>
        <v>0</v>
      </c>
      <c r="H8" s="36">
        <f>ROUND(dagwerk4,4+2)</f>
        <v>0</v>
      </c>
      <c r="I8" s="37">
        <f>ROUND(uurtarief4,2)</f>
        <v>0</v>
      </c>
      <c r="J8" s="34">
        <v>0</v>
      </c>
      <c r="K8" s="34">
        <v>85</v>
      </c>
      <c r="L8" s="34">
        <v>131</v>
      </c>
    </row>
    <row r="9" spans="1:12" x14ac:dyDescent="0.3">
      <c r="A9" s="20" t="s">
        <v>169</v>
      </c>
      <c r="B9" s="20" t="s">
        <v>16</v>
      </c>
      <c r="C9" s="20" t="s">
        <v>683</v>
      </c>
      <c r="D9" s="20" t="s">
        <v>163</v>
      </c>
      <c r="E9" s="34">
        <f t="shared" si="0"/>
        <v>0.16470588235294117</v>
      </c>
      <c r="F9" s="34">
        <v>1</v>
      </c>
      <c r="G9" s="34">
        <f>IF(prodnorm5&gt;0,1/ROUND(prodnorm5,4),0)</f>
        <v>0</v>
      </c>
      <c r="H9" s="36">
        <f>ROUND(dagwerk5,4+2)</f>
        <v>0</v>
      </c>
      <c r="I9" s="37">
        <f>ROUND(uurtarief5,2)</f>
        <v>0</v>
      </c>
      <c r="J9" s="34">
        <v>41</v>
      </c>
      <c r="K9" s="34">
        <v>0</v>
      </c>
      <c r="L9" s="34">
        <v>0</v>
      </c>
    </row>
    <row r="10" spans="1:12" x14ac:dyDescent="0.3">
      <c r="A10" s="20" t="s">
        <v>171</v>
      </c>
      <c r="B10" s="20" t="s">
        <v>10</v>
      </c>
      <c r="C10" s="20" t="s">
        <v>683</v>
      </c>
      <c r="D10" s="20" t="s">
        <v>163</v>
      </c>
      <c r="E10" s="34">
        <f t="shared" si="0"/>
        <v>0.82352941176470584</v>
      </c>
      <c r="F10" s="34">
        <v>1</v>
      </c>
      <c r="G10" s="34">
        <f>IF(prodnorm6&gt;0,1/ROUND(prodnorm6,4),0)</f>
        <v>0</v>
      </c>
      <c r="H10" s="36">
        <f>ROUND(dagwerk6,4+2)</f>
        <v>0</v>
      </c>
      <c r="I10" s="37">
        <f>ROUND(uurtarief6,2)</f>
        <v>0</v>
      </c>
      <c r="J10" s="34">
        <v>319</v>
      </c>
      <c r="K10" s="34">
        <v>413</v>
      </c>
      <c r="L10" s="34">
        <v>0</v>
      </c>
    </row>
    <row r="11" spans="1:12" x14ac:dyDescent="0.3">
      <c r="A11" s="20" t="s">
        <v>173</v>
      </c>
      <c r="B11" s="20" t="s">
        <v>13</v>
      </c>
      <c r="C11" s="20" t="s">
        <v>683</v>
      </c>
      <c r="D11" s="20" t="s">
        <v>163</v>
      </c>
      <c r="E11" s="34">
        <f t="shared" si="0"/>
        <v>0.41176470588235292</v>
      </c>
      <c r="F11" s="34">
        <v>1</v>
      </c>
      <c r="G11" s="34">
        <f>IF(prodnorm7&gt;0,1/ROUND(prodnorm7,4),0)</f>
        <v>0</v>
      </c>
      <c r="H11" s="36">
        <f>ROUND(dagwerk7,4+2)</f>
        <v>0</v>
      </c>
      <c r="I11" s="37">
        <f>ROUND(uurtarief7,2)</f>
        <v>0</v>
      </c>
      <c r="J11" s="34">
        <v>0</v>
      </c>
      <c r="K11" s="34">
        <v>29</v>
      </c>
      <c r="L11" s="34">
        <v>0</v>
      </c>
    </row>
    <row r="12" spans="1:12" x14ac:dyDescent="0.3">
      <c r="A12" s="20" t="s">
        <v>175</v>
      </c>
      <c r="B12" s="20" t="s">
        <v>10</v>
      </c>
      <c r="C12" s="20" t="s">
        <v>683</v>
      </c>
      <c r="D12" s="20" t="s">
        <v>163</v>
      </c>
      <c r="E12" s="34">
        <f t="shared" si="0"/>
        <v>0.82352941176470584</v>
      </c>
      <c r="F12" s="34">
        <v>1</v>
      </c>
      <c r="G12" s="34">
        <f>IF(prodnorm8&gt;0,1/ROUND(prodnorm8,4),0)</f>
        <v>0</v>
      </c>
      <c r="H12" s="36">
        <f>ROUND(dagwerk8,4+2)</f>
        <v>0</v>
      </c>
      <c r="I12" s="37">
        <f>ROUND(uurtarief8,2)</f>
        <v>0</v>
      </c>
      <c r="J12" s="34">
        <v>0</v>
      </c>
      <c r="K12" s="34">
        <v>115</v>
      </c>
      <c r="L12" s="34">
        <v>0</v>
      </c>
    </row>
    <row r="13" spans="1:12" x14ac:dyDescent="0.3">
      <c r="A13" s="20" t="s">
        <v>177</v>
      </c>
      <c r="B13" s="20" t="s">
        <v>10</v>
      </c>
      <c r="C13" s="20" t="s">
        <v>683</v>
      </c>
      <c r="D13" s="20" t="s">
        <v>163</v>
      </c>
      <c r="E13" s="34">
        <f t="shared" si="0"/>
        <v>0.82352941176470584</v>
      </c>
      <c r="F13" s="34">
        <v>1</v>
      </c>
      <c r="G13" s="34">
        <f>IF(prodnorm9&gt;0,1/ROUND(prodnorm9,4),0)</f>
        <v>0</v>
      </c>
      <c r="H13" s="36">
        <f>ROUND(dagwerk9,4+2)</f>
        <v>0</v>
      </c>
      <c r="I13" s="37">
        <f>ROUND(uurtarief9,2)</f>
        <v>0</v>
      </c>
      <c r="J13" s="34">
        <v>59</v>
      </c>
      <c r="K13" s="34">
        <v>0</v>
      </c>
      <c r="L13" s="34">
        <v>0</v>
      </c>
    </row>
    <row r="14" spans="1:12" x14ac:dyDescent="0.3">
      <c r="A14" s="20" t="s">
        <v>179</v>
      </c>
      <c r="B14" s="20" t="s">
        <v>13</v>
      </c>
      <c r="C14" s="20" t="s">
        <v>683</v>
      </c>
      <c r="D14" s="20" t="s">
        <v>163</v>
      </c>
      <c r="E14" s="34">
        <f t="shared" si="0"/>
        <v>0.41176470588235292</v>
      </c>
      <c r="F14" s="34">
        <v>1</v>
      </c>
      <c r="G14" s="34">
        <f>IF(prodnorm10&gt;0,1/ROUND(prodnorm10,4),0)</f>
        <v>0</v>
      </c>
      <c r="H14" s="36">
        <f>ROUND(dagwerk10,4+2)</f>
        <v>0</v>
      </c>
      <c r="I14" s="37">
        <f>ROUND(uurtarief10,2)</f>
        <v>0</v>
      </c>
      <c r="J14" s="34">
        <v>222</v>
      </c>
      <c r="K14" s="34">
        <v>2058</v>
      </c>
      <c r="L14" s="34">
        <v>1509</v>
      </c>
    </row>
    <row r="15" spans="1:12" x14ac:dyDescent="0.3">
      <c r="A15" s="20" t="s">
        <v>179</v>
      </c>
      <c r="B15" s="20" t="s">
        <v>10</v>
      </c>
      <c r="C15" s="20" t="s">
        <v>683</v>
      </c>
      <c r="D15" s="20" t="s">
        <v>163</v>
      </c>
      <c r="E15" s="34">
        <f t="shared" si="0"/>
        <v>0.82352941176470584</v>
      </c>
      <c r="F15" s="34">
        <v>1</v>
      </c>
      <c r="G15" s="34">
        <f>IF(prodnorm11&gt;0,1/ROUND(prodnorm11,4),0)</f>
        <v>0</v>
      </c>
      <c r="H15" s="36">
        <f>ROUND(dagwerk11,4+2)</f>
        <v>0</v>
      </c>
      <c r="I15" s="37">
        <f>ROUND(uurtarief11,2)</f>
        <v>0</v>
      </c>
      <c r="J15" s="34">
        <v>0</v>
      </c>
      <c r="K15" s="34">
        <v>63</v>
      </c>
      <c r="L15" s="34">
        <v>0</v>
      </c>
    </row>
    <row r="16" spans="1:12" x14ac:dyDescent="0.3">
      <c r="A16" s="20" t="s">
        <v>181</v>
      </c>
      <c r="B16" s="20" t="s">
        <v>13</v>
      </c>
      <c r="C16" s="20" t="s">
        <v>683</v>
      </c>
      <c r="D16" s="20" t="s">
        <v>163</v>
      </c>
      <c r="E16" s="34">
        <f t="shared" si="0"/>
        <v>0.41176470588235292</v>
      </c>
      <c r="F16" s="34">
        <v>1</v>
      </c>
      <c r="G16" s="34">
        <f>IF(prodnorm12&gt;0,1/ROUND(prodnorm12,4),0)</f>
        <v>0</v>
      </c>
      <c r="H16" s="36">
        <f>ROUND(dagwerk12,4+2)</f>
        <v>0</v>
      </c>
      <c r="I16" s="37">
        <f>ROUND(uurtarief12,2)</f>
        <v>0</v>
      </c>
      <c r="J16" s="34">
        <v>309</v>
      </c>
      <c r="K16" s="34">
        <v>0</v>
      </c>
      <c r="L16" s="34">
        <v>0</v>
      </c>
    </row>
    <row r="17" spans="1:12" x14ac:dyDescent="0.3">
      <c r="A17" s="20" t="s">
        <v>183</v>
      </c>
      <c r="B17" s="20" t="s">
        <v>10</v>
      </c>
      <c r="C17" s="20" t="s">
        <v>683</v>
      </c>
      <c r="D17" s="20" t="s">
        <v>163</v>
      </c>
      <c r="E17" s="34">
        <f t="shared" si="0"/>
        <v>0.82352941176470584</v>
      </c>
      <c r="F17" s="34">
        <v>1</v>
      </c>
      <c r="G17" s="34">
        <f>IF(prodnorm13&gt;0,1/ROUND(prodnorm13,4),0)</f>
        <v>0</v>
      </c>
      <c r="H17" s="36">
        <f>ROUND(dagwerk13,4+2)</f>
        <v>0</v>
      </c>
      <c r="I17" s="37">
        <f>ROUND(uurtarief13,2)</f>
        <v>0</v>
      </c>
      <c r="J17" s="34">
        <v>76</v>
      </c>
      <c r="K17" s="34">
        <v>0</v>
      </c>
      <c r="L17" s="34">
        <v>335</v>
      </c>
    </row>
    <row r="18" spans="1:12" x14ac:dyDescent="0.3">
      <c r="A18" s="20" t="s">
        <v>185</v>
      </c>
      <c r="B18" s="20" t="s">
        <v>13</v>
      </c>
      <c r="C18" s="20" t="s">
        <v>683</v>
      </c>
      <c r="D18" s="20" t="s">
        <v>163</v>
      </c>
      <c r="E18" s="34">
        <f t="shared" si="0"/>
        <v>0.41176470588235292</v>
      </c>
      <c r="F18" s="34">
        <v>1</v>
      </c>
      <c r="G18" s="34">
        <f>IF(prodnorm14&gt;0,1/ROUND(prodnorm14,4),0)</f>
        <v>0</v>
      </c>
      <c r="H18" s="36">
        <f>ROUND(dagwerk14,4+2)</f>
        <v>0</v>
      </c>
      <c r="I18" s="37">
        <f>ROUND(uurtarief14,2)</f>
        <v>0</v>
      </c>
      <c r="J18" s="34">
        <v>0</v>
      </c>
      <c r="K18" s="34">
        <v>237</v>
      </c>
      <c r="L18" s="34">
        <v>0</v>
      </c>
    </row>
    <row r="19" spans="1:12" x14ac:dyDescent="0.3">
      <c r="A19" s="20" t="s">
        <v>187</v>
      </c>
      <c r="B19" s="20" t="s">
        <v>10</v>
      </c>
      <c r="C19" s="20" t="s">
        <v>683</v>
      </c>
      <c r="D19" s="20" t="s">
        <v>163</v>
      </c>
      <c r="E19" s="34">
        <f t="shared" si="0"/>
        <v>0.82352941176470584</v>
      </c>
      <c r="F19" s="34">
        <v>1</v>
      </c>
      <c r="G19" s="34">
        <f>IF(prodnorm15&gt;0,1/ROUND(prodnorm15,4),0)</f>
        <v>0</v>
      </c>
      <c r="H19" s="36">
        <f>ROUND(dagwerk15,4+2)</f>
        <v>0</v>
      </c>
      <c r="I19" s="37">
        <f>ROUND(uurtarief15,2)</f>
        <v>0</v>
      </c>
      <c r="J19" s="34">
        <v>0</v>
      </c>
      <c r="K19" s="34">
        <v>4</v>
      </c>
      <c r="L19" s="34">
        <v>0</v>
      </c>
    </row>
    <row r="20" spans="1:12" x14ac:dyDescent="0.3">
      <c r="A20" s="20" t="s">
        <v>189</v>
      </c>
      <c r="B20" s="20" t="s">
        <v>10</v>
      </c>
      <c r="C20" s="20" t="s">
        <v>683</v>
      </c>
      <c r="D20" s="20" t="s">
        <v>163</v>
      </c>
      <c r="E20" s="34">
        <f t="shared" si="0"/>
        <v>0.82352941176470584</v>
      </c>
      <c r="F20" s="34">
        <v>1</v>
      </c>
      <c r="G20" s="34">
        <f>IF(prodnorm16&gt;0,1/ROUND(prodnorm16,4),0)</f>
        <v>0</v>
      </c>
      <c r="H20" s="36">
        <f>ROUND(dagwerk16,4+2)</f>
        <v>0</v>
      </c>
      <c r="I20" s="37">
        <f>ROUND(uurtarief16,2)</f>
        <v>0</v>
      </c>
      <c r="J20" s="34">
        <v>159</v>
      </c>
      <c r="K20" s="34">
        <v>221</v>
      </c>
      <c r="L20" s="34">
        <v>17</v>
      </c>
    </row>
    <row r="21" spans="1:12" x14ac:dyDescent="0.3">
      <c r="A21" s="20" t="s">
        <v>191</v>
      </c>
      <c r="B21" s="20" t="s">
        <v>10</v>
      </c>
      <c r="C21" s="20" t="s">
        <v>683</v>
      </c>
      <c r="D21" s="20" t="s">
        <v>163</v>
      </c>
      <c r="E21" s="34">
        <f t="shared" si="0"/>
        <v>0.82352941176470584</v>
      </c>
      <c r="F21" s="34">
        <v>1</v>
      </c>
      <c r="G21" s="34">
        <f>IF(prodnorm17&gt;0,1/ROUND(prodnorm17,4),0)</f>
        <v>0</v>
      </c>
      <c r="H21" s="36">
        <f>ROUND(dagwerk17,4+2)</f>
        <v>0</v>
      </c>
      <c r="I21" s="37">
        <f>ROUND(uurtarief17,2)</f>
        <v>0</v>
      </c>
      <c r="J21" s="34">
        <v>0</v>
      </c>
      <c r="K21" s="34">
        <v>0</v>
      </c>
      <c r="L21" s="34">
        <v>112</v>
      </c>
    </row>
    <row r="22" spans="1:12" x14ac:dyDescent="0.3">
      <c r="A22" s="20" t="s">
        <v>193</v>
      </c>
      <c r="B22" s="20" t="s">
        <v>13</v>
      </c>
      <c r="C22" s="20" t="s">
        <v>683</v>
      </c>
      <c r="D22" s="20" t="s">
        <v>163</v>
      </c>
      <c r="E22" s="34">
        <f t="shared" si="0"/>
        <v>0.41176470588235292</v>
      </c>
      <c r="F22" s="34">
        <v>1</v>
      </c>
      <c r="G22" s="34">
        <f>IF(prodnorm18&gt;0,1/ROUND(prodnorm18,4),0)</f>
        <v>0</v>
      </c>
      <c r="H22" s="36">
        <f>ROUND(dagwerk18,4+2)</f>
        <v>0</v>
      </c>
      <c r="I22" s="37">
        <f>ROUND(uurtarief18,2)</f>
        <v>0</v>
      </c>
      <c r="J22" s="34">
        <v>71</v>
      </c>
      <c r="K22" s="34">
        <v>0</v>
      </c>
      <c r="L22" s="34">
        <v>0</v>
      </c>
    </row>
    <row r="23" spans="1:12" x14ac:dyDescent="0.3">
      <c r="A23" s="20" t="s">
        <v>193</v>
      </c>
      <c r="B23" s="20" t="s">
        <v>10</v>
      </c>
      <c r="C23" s="20" t="s">
        <v>683</v>
      </c>
      <c r="D23" s="20" t="s">
        <v>163</v>
      </c>
      <c r="E23" s="34">
        <f t="shared" si="0"/>
        <v>0.82352941176470584</v>
      </c>
      <c r="F23" s="34">
        <v>1</v>
      </c>
      <c r="G23" s="34">
        <f>IF(prodnorm19&gt;0,1/ROUND(prodnorm19,4),0)</f>
        <v>0</v>
      </c>
      <c r="H23" s="36">
        <f>ROUND(dagwerk19,4+2)</f>
        <v>0</v>
      </c>
      <c r="I23" s="37">
        <f>ROUND(uurtarief19,2)</f>
        <v>0</v>
      </c>
      <c r="J23" s="34">
        <v>100</v>
      </c>
      <c r="K23" s="34">
        <v>517</v>
      </c>
      <c r="L23" s="34">
        <v>216</v>
      </c>
    </row>
    <row r="24" spans="1:12" x14ac:dyDescent="0.3">
      <c r="A24" s="20" t="s">
        <v>195</v>
      </c>
      <c r="B24" s="20" t="s">
        <v>13</v>
      </c>
      <c r="C24" s="20" t="s">
        <v>683</v>
      </c>
      <c r="D24" s="20" t="s">
        <v>163</v>
      </c>
      <c r="E24" s="34">
        <f t="shared" si="0"/>
        <v>0.41176470588235292</v>
      </c>
      <c r="F24" s="34">
        <v>1</v>
      </c>
      <c r="G24" s="34">
        <f>IF(prodnorm20&gt;0,1/ROUND(prodnorm20,4),0)</f>
        <v>0</v>
      </c>
      <c r="H24" s="36">
        <f>ROUND(dagwerk20,4+2)</f>
        <v>0</v>
      </c>
      <c r="I24" s="37">
        <f>ROUND(uurtarief20,2)</f>
        <v>0</v>
      </c>
      <c r="J24" s="34">
        <v>238</v>
      </c>
      <c r="K24" s="34">
        <v>70</v>
      </c>
      <c r="L24" s="34">
        <v>196</v>
      </c>
    </row>
    <row r="25" spans="1:12" x14ac:dyDescent="0.3">
      <c r="A25" s="20" t="s">
        <v>197</v>
      </c>
      <c r="B25" s="20" t="s">
        <v>10</v>
      </c>
      <c r="C25" s="20" t="s">
        <v>683</v>
      </c>
      <c r="D25" s="20" t="s">
        <v>163</v>
      </c>
      <c r="E25" s="34">
        <f t="shared" si="0"/>
        <v>0.82352941176470584</v>
      </c>
      <c r="F25" s="34">
        <v>1</v>
      </c>
      <c r="G25" s="34">
        <f>IF(prodnorm21&gt;0,1/ROUND(prodnorm21,4),0)</f>
        <v>0</v>
      </c>
      <c r="H25" s="36">
        <f>ROUND(dagwerk21,4+2)</f>
        <v>0</v>
      </c>
      <c r="I25" s="37">
        <f>ROUND(uurtarief21,2)</f>
        <v>0</v>
      </c>
      <c r="J25" s="34">
        <v>0</v>
      </c>
      <c r="K25" s="34">
        <v>105</v>
      </c>
      <c r="L25" s="34">
        <v>0</v>
      </c>
    </row>
    <row r="26" spans="1:12" x14ac:dyDescent="0.3">
      <c r="A26" s="20" t="s">
        <v>199</v>
      </c>
      <c r="B26" s="20" t="s">
        <v>10</v>
      </c>
      <c r="C26" s="20" t="s">
        <v>683</v>
      </c>
      <c r="D26" s="20" t="s">
        <v>163</v>
      </c>
      <c r="E26" s="34">
        <f t="shared" si="0"/>
        <v>0.82352941176470584</v>
      </c>
      <c r="F26" s="34">
        <v>1</v>
      </c>
      <c r="G26" s="34">
        <f>IF(prodnorm22&gt;0,1/ROUND(prodnorm22,4),0)</f>
        <v>0</v>
      </c>
      <c r="H26" s="36">
        <f>ROUND(dagwerk22,4+2)</f>
        <v>0</v>
      </c>
      <c r="I26" s="37">
        <f>ROUND(uurtarief22,2)</f>
        <v>0</v>
      </c>
      <c r="J26" s="34">
        <v>13</v>
      </c>
      <c r="K26" s="34">
        <v>60</v>
      </c>
      <c r="L26" s="34">
        <v>0</v>
      </c>
    </row>
    <row r="27" spans="1:12" x14ac:dyDescent="0.3">
      <c r="A27" s="20" t="s">
        <v>201</v>
      </c>
      <c r="B27" s="20" t="s">
        <v>10</v>
      </c>
      <c r="C27" s="20" t="s">
        <v>683</v>
      </c>
      <c r="D27" s="20" t="s">
        <v>163</v>
      </c>
      <c r="E27" s="34">
        <f t="shared" si="0"/>
        <v>0.82352941176470584</v>
      </c>
      <c r="F27" s="34">
        <v>1</v>
      </c>
      <c r="G27" s="34">
        <f>IF(prodnorm23&gt;0,1/ROUND(prodnorm23,4),0)</f>
        <v>0</v>
      </c>
      <c r="H27" s="36">
        <f>ROUND(dagwerk23,4+2)</f>
        <v>0</v>
      </c>
      <c r="I27" s="37">
        <f>ROUND(uurtarief23,2)</f>
        <v>0</v>
      </c>
      <c r="J27" s="34">
        <v>39</v>
      </c>
      <c r="K27" s="34">
        <v>99</v>
      </c>
      <c r="L27" s="34">
        <v>0</v>
      </c>
    </row>
    <row r="28" spans="1:12" x14ac:dyDescent="0.3">
      <c r="A28" s="20" t="s">
        <v>203</v>
      </c>
      <c r="B28" s="20" t="s">
        <v>10</v>
      </c>
      <c r="C28" s="20" t="s">
        <v>683</v>
      </c>
      <c r="D28" s="20" t="s">
        <v>163</v>
      </c>
      <c r="E28" s="34">
        <f t="shared" si="0"/>
        <v>0.82352941176470584</v>
      </c>
      <c r="F28" s="34">
        <v>1</v>
      </c>
      <c r="G28" s="34">
        <f>IF(prodnorm24&gt;0,1/ROUND(prodnorm24,4),0)</f>
        <v>0</v>
      </c>
      <c r="H28" s="36">
        <f>ROUND(dagwerk24,4+2)</f>
        <v>0</v>
      </c>
      <c r="I28" s="37">
        <f>ROUND(uurtarief24,2)</f>
        <v>0</v>
      </c>
      <c r="J28" s="34">
        <v>49</v>
      </c>
      <c r="K28" s="34">
        <v>226.5</v>
      </c>
      <c r="L28" s="34">
        <v>151</v>
      </c>
    </row>
    <row r="29" spans="1:12" x14ac:dyDescent="0.3">
      <c r="A29" s="20" t="s">
        <v>205</v>
      </c>
      <c r="B29" s="20" t="s">
        <v>10</v>
      </c>
      <c r="C29" s="20" t="s">
        <v>683</v>
      </c>
      <c r="D29" s="20" t="s">
        <v>163</v>
      </c>
      <c r="E29" s="34">
        <f t="shared" si="0"/>
        <v>0.82352941176470584</v>
      </c>
      <c r="F29" s="34">
        <v>1</v>
      </c>
      <c r="G29" s="34">
        <f>IF(prodnorm25&gt;0,1/ROUND(prodnorm25,4),0)</f>
        <v>0</v>
      </c>
      <c r="H29" s="36">
        <f>ROUND(dagwerk25,4+2)</f>
        <v>0</v>
      </c>
      <c r="I29" s="37">
        <f>ROUND(uurtarief25,2)</f>
        <v>0</v>
      </c>
      <c r="J29" s="34">
        <v>4</v>
      </c>
      <c r="K29" s="34">
        <v>0</v>
      </c>
      <c r="L29" s="34">
        <v>30</v>
      </c>
    </row>
    <row r="30" spans="1:12" x14ac:dyDescent="0.3">
      <c r="A30" s="20" t="s">
        <v>207</v>
      </c>
      <c r="B30" s="20" t="s">
        <v>10</v>
      </c>
      <c r="C30" s="20" t="s">
        <v>683</v>
      </c>
      <c r="D30" s="20" t="s">
        <v>163</v>
      </c>
      <c r="E30" s="34">
        <f t="shared" si="0"/>
        <v>0.82352941176470584</v>
      </c>
      <c r="F30" s="34">
        <v>1</v>
      </c>
      <c r="G30" s="34">
        <f>IF(prodnorm26&gt;0,1/ROUND(prodnorm26,4),0)</f>
        <v>0</v>
      </c>
      <c r="H30" s="36">
        <f>ROUND(dagwerk26,4+2)</f>
        <v>0</v>
      </c>
      <c r="I30" s="37">
        <f>ROUND(uurtarief26,2)</f>
        <v>0</v>
      </c>
      <c r="J30" s="34">
        <v>447</v>
      </c>
      <c r="K30" s="34">
        <v>2048</v>
      </c>
      <c r="L30" s="34">
        <v>2109</v>
      </c>
    </row>
    <row r="31" spans="1:12" x14ac:dyDescent="0.3">
      <c r="A31" s="20" t="s">
        <v>209</v>
      </c>
      <c r="B31" s="20" t="s">
        <v>10</v>
      </c>
      <c r="C31" s="20" t="s">
        <v>683</v>
      </c>
      <c r="D31" s="20" t="s">
        <v>163</v>
      </c>
      <c r="E31" s="34">
        <f t="shared" si="0"/>
        <v>0.82352941176470584</v>
      </c>
      <c r="F31" s="34">
        <v>1</v>
      </c>
      <c r="G31" s="34">
        <f>IF(prodnorm27&gt;0,1/ROUND(prodnorm27,4),0)</f>
        <v>0</v>
      </c>
      <c r="H31" s="36">
        <f>ROUND(dagwerk27,4+2)</f>
        <v>0</v>
      </c>
      <c r="I31" s="37">
        <f>ROUND(uurtarief27,2)</f>
        <v>0</v>
      </c>
      <c r="J31" s="34">
        <v>0</v>
      </c>
      <c r="K31" s="34">
        <v>5</v>
      </c>
      <c r="L31" s="34">
        <v>0</v>
      </c>
    </row>
    <row r="32" spans="1:12" x14ac:dyDescent="0.3">
      <c r="A32" s="20" t="s">
        <v>211</v>
      </c>
      <c r="B32" s="20" t="s">
        <v>10</v>
      </c>
      <c r="C32" s="20" t="s">
        <v>683</v>
      </c>
      <c r="D32" s="20" t="s">
        <v>163</v>
      </c>
      <c r="E32" s="34">
        <f t="shared" si="0"/>
        <v>0.82352941176470584</v>
      </c>
      <c r="F32" s="34">
        <v>1</v>
      </c>
      <c r="G32" s="34">
        <f>IF(prodnorm28&gt;0,1/ROUND(prodnorm28,4),0)</f>
        <v>0</v>
      </c>
      <c r="H32" s="36">
        <f>ROUND(dagwerk28,4+2)</f>
        <v>0</v>
      </c>
      <c r="I32" s="37">
        <f>ROUND(uurtarief28,2)</f>
        <v>0</v>
      </c>
      <c r="J32" s="34">
        <v>16</v>
      </c>
      <c r="K32" s="34">
        <v>0</v>
      </c>
      <c r="L32" s="34">
        <v>125</v>
      </c>
    </row>
    <row r="33" spans="1:12" x14ac:dyDescent="0.3">
      <c r="A33" s="20" t="s">
        <v>213</v>
      </c>
      <c r="B33" s="20" t="s">
        <v>10</v>
      </c>
      <c r="C33" s="20" t="s">
        <v>683</v>
      </c>
      <c r="D33" s="20" t="s">
        <v>163</v>
      </c>
      <c r="E33" s="34">
        <f t="shared" si="0"/>
        <v>0.82352941176470584</v>
      </c>
      <c r="F33" s="34">
        <v>1</v>
      </c>
      <c r="G33" s="34">
        <f>IF(prodnorm29&gt;0,1/ROUND(prodnorm29,4),0)</f>
        <v>0</v>
      </c>
      <c r="H33" s="36">
        <f>ROUND(dagwerk29,4+2)</f>
        <v>0</v>
      </c>
      <c r="I33" s="37">
        <f>ROUND(uurtarief29,2)</f>
        <v>0</v>
      </c>
      <c r="J33" s="34">
        <v>30</v>
      </c>
      <c r="K33" s="34">
        <v>15</v>
      </c>
      <c r="L33" s="34">
        <v>0</v>
      </c>
    </row>
    <row r="34" spans="1:12" x14ac:dyDescent="0.3">
      <c r="A34" s="20" t="s">
        <v>215</v>
      </c>
      <c r="B34" s="20" t="s">
        <v>10</v>
      </c>
      <c r="C34" s="20" t="s">
        <v>683</v>
      </c>
      <c r="D34" s="20" t="s">
        <v>163</v>
      </c>
      <c r="E34" s="34">
        <f t="shared" si="0"/>
        <v>0.82352941176470584</v>
      </c>
      <c r="F34" s="34">
        <v>1</v>
      </c>
      <c r="G34" s="34">
        <f>IF(prodnorm30&gt;0,1/ROUND(prodnorm30,4),0)</f>
        <v>0</v>
      </c>
      <c r="H34" s="36">
        <f>ROUND(dagwerk30,4+2)</f>
        <v>0</v>
      </c>
      <c r="I34" s="37">
        <f>ROUND(uurtarief30,2)</f>
        <v>0</v>
      </c>
      <c r="J34" s="34">
        <v>3</v>
      </c>
      <c r="K34" s="34">
        <v>0</v>
      </c>
      <c r="L34" s="34">
        <v>0</v>
      </c>
    </row>
    <row r="35" spans="1:12" x14ac:dyDescent="0.3">
      <c r="A35" s="25" t="s">
        <v>217</v>
      </c>
      <c r="B35" s="25" t="s">
        <v>10</v>
      </c>
      <c r="C35" s="25" t="s">
        <v>683</v>
      </c>
      <c r="D35" s="25" t="s">
        <v>163</v>
      </c>
      <c r="E35" s="38">
        <f t="shared" si="0"/>
        <v>0.82352941176470584</v>
      </c>
      <c r="F35" s="38">
        <v>1</v>
      </c>
      <c r="G35" s="38">
        <f>IF(prodnorm31&gt;0,1/ROUND(prodnorm31,4),0)</f>
        <v>0</v>
      </c>
      <c r="H35" s="40">
        <f>ROUND(dagwerk31,4+2)</f>
        <v>0</v>
      </c>
      <c r="I35" s="41">
        <f>ROUND(uurtarief31,2)</f>
        <v>0</v>
      </c>
      <c r="J35" s="38">
        <v>16</v>
      </c>
      <c r="K35" s="38">
        <v>0</v>
      </c>
      <c r="L35" s="38">
        <v>129</v>
      </c>
    </row>
    <row r="36" spans="1:12" x14ac:dyDescent="0.3">
      <c r="A36" s="43" t="s">
        <v>219</v>
      </c>
      <c r="B36" s="44"/>
      <c r="C36" s="44"/>
      <c r="D36" s="44"/>
      <c r="E36" s="44"/>
      <c r="F36" s="44"/>
      <c r="G36" s="44"/>
      <c r="H36" s="44"/>
      <c r="I36" s="44"/>
      <c r="J36" s="81"/>
      <c r="K36" s="81"/>
      <c r="L36" s="81"/>
    </row>
  </sheetData>
  <pageMargins left="0.7" right="0.7" top="0.75" bottom="0.75" header="0.3" footer="0.3"/>
  <pageSetup paperSize="9" scale="70" orientation="landscape" horizontalDpi="150" verticalDpi="0" r:id="rId1"/>
  <headerFooter>
    <oddFooter>&amp;LOns Middelbaar Onderwijs                                    
CONCEPT PER 01-01-2022&amp;ROpmaakdatum: 07-12-2021
Intexso - De Start 5 - Leusden
+31 (33) 2778485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4AD2C-92BD-4C00-A9E9-3756A9C80503}">
  <dimension ref="A1:M14"/>
  <sheetViews>
    <sheetView workbookViewId="0"/>
  </sheetViews>
  <sheetFormatPr defaultRowHeight="14.4" x14ac:dyDescent="0.3"/>
  <cols>
    <col min="1" max="1" width="8.77734375" customWidth="1"/>
    <col min="2" max="2" width="28.77734375" customWidth="1"/>
    <col min="3" max="4" width="15.77734375" customWidth="1"/>
    <col min="5" max="5" width="6.33203125" customWidth="1"/>
    <col min="6" max="6" width="10.77734375" customWidth="1"/>
    <col min="7" max="9" width="12.33203125" customWidth="1"/>
    <col min="10" max="11" width="12.77734375" customWidth="1"/>
    <col min="12" max="13" width="13.77734375" customWidth="1"/>
  </cols>
  <sheetData>
    <row r="1" spans="1:13" x14ac:dyDescent="0.3">
      <c r="A1" s="1" t="str">
        <f>CONCATENATE("Bijlage G.4: ",tabeltype," objecten")</f>
        <v>Bijlage G.4: Invultabel objecten</v>
      </c>
    </row>
    <row r="3" spans="1:13" ht="43.2" x14ac:dyDescent="0.3">
      <c r="A3" s="8" t="s">
        <v>222</v>
      </c>
      <c r="B3" s="8" t="s">
        <v>684</v>
      </c>
      <c r="C3" s="8" t="s">
        <v>685</v>
      </c>
      <c r="D3" s="8" t="s">
        <v>686</v>
      </c>
      <c r="E3" s="8" t="s">
        <v>7</v>
      </c>
      <c r="F3" s="8" t="s">
        <v>687</v>
      </c>
      <c r="G3" s="8" t="s">
        <v>688</v>
      </c>
      <c r="H3" s="8" t="s">
        <v>689</v>
      </c>
      <c r="I3" s="8" t="s">
        <v>690</v>
      </c>
      <c r="J3" s="8" t="s">
        <v>691</v>
      </c>
      <c r="K3" s="8" t="s">
        <v>160</v>
      </c>
      <c r="L3" s="8" t="s">
        <v>692</v>
      </c>
      <c r="M3" s="8" t="s">
        <v>693</v>
      </c>
    </row>
    <row r="4" spans="1:13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</row>
    <row r="5" spans="1:13" x14ac:dyDescent="0.3">
      <c r="A5" s="12" t="s">
        <v>34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3" x14ac:dyDescent="0.3">
      <c r="A6" s="15" t="s">
        <v>233</v>
      </c>
      <c r="B6" s="15" t="s">
        <v>694</v>
      </c>
      <c r="C6" s="15" t="s">
        <v>695</v>
      </c>
      <c r="D6" s="15" t="s">
        <v>696</v>
      </c>
      <c r="E6" s="82" t="s">
        <v>10</v>
      </c>
      <c r="F6" s="83">
        <f>gemuurtarief1</f>
        <v>0</v>
      </c>
      <c r="G6" s="30">
        <f>SUMPRODUCT(taakfreqtabel1,uurfactortabel1,kengetaltabel1,object1_opptabel1)*(1/VLOOKUP(E6,dagsoorttabel1,2,FALSE))</f>
        <v>0</v>
      </c>
      <c r="H6" s="30">
        <f>SUMPRODUCT(dagwerktabel1,taakfreqtabel1,uurfactortabel1,kengetaltabel1,object1_opptabel1)*(1/VLOOKUP(E6,dagsoorttabel1,2,FALSE))</f>
        <v>0</v>
      </c>
      <c r="I6" s="33">
        <f>SUMPRODUCT(taakfreqtabel1,kengetaltabel1,tarieftabel1,object1_opptabel1)*(1/VLOOKUP(E6,dagsoorttabel1,2,FALSE))</f>
        <v>0</v>
      </c>
      <c r="J6" s="30">
        <f>H6*dagenperjaar1*VLOOKUP(E6,dagsoorttabel1,2,FALSE)</f>
        <v>0</v>
      </c>
      <c r="K6" s="30">
        <f>G6*dagenperjaar1*VLOOKUP(E6,dagsoorttabel1,2,FALSE)</f>
        <v>0</v>
      </c>
      <c r="L6" s="33">
        <f>I6*dagenperjaar1*VLOOKUP(E6,dagsoorttabel1,2,FALSE)</f>
        <v>0</v>
      </c>
      <c r="M6" s="33">
        <f>L6/12</f>
        <v>0</v>
      </c>
    </row>
    <row r="7" spans="1:13" x14ac:dyDescent="0.3">
      <c r="A7" s="20" t="s">
        <v>384</v>
      </c>
      <c r="B7" s="20" t="s">
        <v>697</v>
      </c>
      <c r="C7" s="20" t="s">
        <v>698</v>
      </c>
      <c r="D7" s="20" t="s">
        <v>696</v>
      </c>
      <c r="E7" s="84" t="s">
        <v>10</v>
      </c>
      <c r="F7" s="85">
        <f>gemuurtarief1</f>
        <v>0</v>
      </c>
      <c r="G7" s="34">
        <f>SUMPRODUCT(taakfreqtabel1,uurfactortabel1,kengetaltabel1,object2_opptabel1)*(1/VLOOKUP(E7,dagsoorttabel1,2,FALSE))</f>
        <v>0</v>
      </c>
      <c r="H7" s="34">
        <f>SUMPRODUCT(dagwerktabel1,taakfreqtabel1,uurfactortabel1,kengetaltabel1,object2_opptabel1)*(1/VLOOKUP(E7,dagsoorttabel1,2,FALSE))</f>
        <v>0</v>
      </c>
      <c r="I7" s="37">
        <f>SUMPRODUCT(taakfreqtabel1,kengetaltabel1,tarieftabel1,object2_opptabel1)*(1/VLOOKUP(E7,dagsoorttabel1,2,FALSE))</f>
        <v>0</v>
      </c>
      <c r="J7" s="34">
        <f>H7*dagenperjaar1*VLOOKUP(E7,dagsoorttabel1,2,FALSE)</f>
        <v>0</v>
      </c>
      <c r="K7" s="34">
        <f>G7*dagenperjaar1*VLOOKUP(E7,dagsoorttabel1,2,FALSE)</f>
        <v>0</v>
      </c>
      <c r="L7" s="37">
        <f>I7*dagenperjaar1*VLOOKUP(E7,dagsoorttabel1,2,FALSE)</f>
        <v>0</v>
      </c>
      <c r="M7" s="37">
        <f>L7/12</f>
        <v>0</v>
      </c>
    </row>
    <row r="8" spans="1:13" x14ac:dyDescent="0.3">
      <c r="A8" s="25" t="s">
        <v>524</v>
      </c>
      <c r="B8" s="25" t="s">
        <v>699</v>
      </c>
      <c r="C8" s="25" t="s">
        <v>700</v>
      </c>
      <c r="D8" s="25" t="s">
        <v>696</v>
      </c>
      <c r="E8" s="86" t="s">
        <v>10</v>
      </c>
      <c r="F8" s="87">
        <f>gemuurtarief1</f>
        <v>0</v>
      </c>
      <c r="G8" s="38">
        <f>SUMPRODUCT(taakfreqtabel1,uurfactortabel1,kengetaltabel1,object3_opptabel1)*(1/VLOOKUP(E8,dagsoorttabel1,2,FALSE))</f>
        <v>0</v>
      </c>
      <c r="H8" s="38">
        <f>SUMPRODUCT(dagwerktabel1,taakfreqtabel1,uurfactortabel1,kengetaltabel1,object3_opptabel1)*(1/VLOOKUP(E8,dagsoorttabel1,2,FALSE))</f>
        <v>0</v>
      </c>
      <c r="I8" s="41">
        <f>SUMPRODUCT(taakfreqtabel1,kengetaltabel1,tarieftabel1,object3_opptabel1)*(1/VLOOKUP(E8,dagsoorttabel1,2,FALSE))</f>
        <v>0</v>
      </c>
      <c r="J8" s="38">
        <f>H8*dagenperjaar1*VLOOKUP(E8,dagsoorttabel1,2,FALSE)</f>
        <v>0</v>
      </c>
      <c r="K8" s="38">
        <f>G8*dagenperjaar1*VLOOKUP(E8,dagsoorttabel1,2,FALSE)</f>
        <v>0</v>
      </c>
      <c r="L8" s="41">
        <f>I8*dagenperjaar1*VLOOKUP(E8,dagsoorttabel1,2,FALSE)</f>
        <v>0</v>
      </c>
      <c r="M8" s="41">
        <f>L8/12</f>
        <v>0</v>
      </c>
    </row>
    <row r="9" spans="1:13" x14ac:dyDescent="0.3">
      <c r="A9" s="43" t="s">
        <v>219</v>
      </c>
      <c r="B9" s="44"/>
      <c r="C9" s="44"/>
      <c r="D9" s="44"/>
      <c r="E9" s="44"/>
      <c r="F9" s="44"/>
      <c r="G9" s="44"/>
      <c r="H9" s="44"/>
      <c r="I9" s="44"/>
      <c r="J9" s="45">
        <f>SUM(J6:J8)</f>
        <v>0</v>
      </c>
      <c r="K9" s="45">
        <f>SUM(K6:K8)</f>
        <v>0</v>
      </c>
      <c r="L9" s="46">
        <f>SUM(L6:L8)</f>
        <v>0</v>
      </c>
      <c r="M9" s="47">
        <f>SUM(M6:M8)</f>
        <v>0</v>
      </c>
    </row>
    <row r="10" spans="1:13" x14ac:dyDescent="0.3">
      <c r="A10" s="48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9"/>
    </row>
    <row r="12" spans="1:13" x14ac:dyDescent="0.3">
      <c r="A12" s="43" t="s">
        <v>701</v>
      </c>
      <c r="B12" s="44"/>
      <c r="C12" s="44"/>
      <c r="D12" s="44"/>
      <c r="E12" s="44"/>
      <c r="F12" s="44"/>
      <c r="G12" s="44"/>
      <c r="H12" s="44"/>
      <c r="I12" s="44"/>
      <c r="J12" s="45">
        <f>urenjaartotaalhf1</f>
        <v>0</v>
      </c>
      <c r="K12" s="45">
        <f>urenjaartotaal1</f>
        <v>0</v>
      </c>
      <c r="L12" s="46">
        <f>prijsjaartotaal1</f>
        <v>0</v>
      </c>
      <c r="M12" s="46">
        <f>prijsmaandtotaal1</f>
        <v>0</v>
      </c>
    </row>
    <row r="14" spans="1:13" x14ac:dyDescent="0.3">
      <c r="A14" s="43" t="s">
        <v>702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6">
        <f>L12*1.21</f>
        <v>0</v>
      </c>
      <c r="M14" s="46">
        <f>M12*1.21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                                   
CONCEPT PER 01-01-2022&amp;ROpmaakdatum: 07-12-2021
Intexso - De Start 5 - Leusden
+31 (33) 2778485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E7D4A-8A87-4781-944A-8D8E33F1CD5A}">
  <dimension ref="A1:K35"/>
  <sheetViews>
    <sheetView workbookViewId="0"/>
  </sheetViews>
  <sheetFormatPr defaultRowHeight="14.4" x14ac:dyDescent="0.3"/>
  <cols>
    <col min="1" max="1" width="7.77734375" customWidth="1"/>
    <col min="2" max="2" width="6.77734375" customWidth="1"/>
    <col min="3" max="3" width="7.77734375" customWidth="1"/>
    <col min="4" max="4" width="40.77734375" customWidth="1"/>
    <col min="5" max="5" width="11.77734375" customWidth="1"/>
    <col min="6" max="7" width="14.77734375" customWidth="1"/>
    <col min="8" max="8" width="12.77734375" customWidth="1"/>
    <col min="9" max="10" width="14.77734375" customWidth="1"/>
    <col min="11" max="11" width="13.77734375" customWidth="1"/>
  </cols>
  <sheetData>
    <row r="1" spans="1:11" x14ac:dyDescent="0.3">
      <c r="A1" s="1" t="str">
        <f>CONCATENATE("Bijlage G.5: ",tabeltype," niet-meewerkende objectleiding")</f>
        <v>Bijlage G.5: Invultabel niet-meewerkende objectleiding</v>
      </c>
    </row>
    <row r="3" spans="1:11" ht="43.2" x14ac:dyDescent="0.3">
      <c r="A3" s="8" t="s">
        <v>703</v>
      </c>
      <c r="B3" s="8" t="s">
        <v>7</v>
      </c>
      <c r="C3" s="8" t="s">
        <v>704</v>
      </c>
      <c r="D3" s="8" t="s">
        <v>705</v>
      </c>
      <c r="E3" s="8" t="s">
        <v>706</v>
      </c>
      <c r="F3" s="8" t="s">
        <v>707</v>
      </c>
      <c r="G3" s="8" t="s">
        <v>708</v>
      </c>
      <c r="H3" s="8" t="s">
        <v>160</v>
      </c>
      <c r="I3" s="8" t="s">
        <v>709</v>
      </c>
      <c r="J3" s="8" t="s">
        <v>710</v>
      </c>
      <c r="K3" s="8" t="s">
        <v>711</v>
      </c>
    </row>
    <row r="4" spans="1:11" x14ac:dyDescent="0.3">
      <c r="A4" s="88"/>
      <c r="B4" s="89"/>
      <c r="C4" s="89"/>
      <c r="D4" s="89"/>
      <c r="E4" s="89"/>
      <c r="F4" s="89"/>
      <c r="G4" s="89"/>
      <c r="H4" s="89"/>
      <c r="I4" s="89"/>
      <c r="J4" s="89"/>
      <c r="K4" s="90"/>
    </row>
    <row r="5" spans="1:11" x14ac:dyDescent="0.3">
      <c r="A5" s="12" t="s">
        <v>34</v>
      </c>
      <c r="B5" s="13"/>
      <c r="C5" s="13"/>
      <c r="D5" s="13"/>
      <c r="E5" s="13"/>
      <c r="F5" s="13"/>
      <c r="G5" s="13"/>
      <c r="H5" s="13"/>
      <c r="I5" s="13"/>
      <c r="J5" s="13"/>
      <c r="K5" s="14"/>
    </row>
    <row r="6" spans="1:11" x14ac:dyDescent="0.3">
      <c r="A6" s="9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x14ac:dyDescent="0.3">
      <c r="A7" s="91" t="s">
        <v>232</v>
      </c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x14ac:dyDescent="0.3">
      <c r="A8" s="15"/>
      <c r="B8" s="15"/>
      <c r="C8" s="92">
        <f>dagenperjaar1</f>
        <v>255</v>
      </c>
      <c r="D8" s="93" t="s">
        <v>712</v>
      </c>
      <c r="E8" s="19"/>
      <c r="F8" s="18"/>
      <c r="G8" s="94"/>
      <c r="H8" s="30">
        <f>IF(ISBLANK(G8),0,G8*C8)+IF(ISBLANK(F8),0,F8*objecturen1_1)</f>
        <v>0</v>
      </c>
      <c r="I8" s="30">
        <f>IF(C8=0,0,H8/C8)</f>
        <v>0</v>
      </c>
      <c r="J8" s="33">
        <f>IF(ISBLANK(E8),0,ROUND(E8,2)*H8)</f>
        <v>0</v>
      </c>
      <c r="K8" s="33">
        <f>J8/12</f>
        <v>0</v>
      </c>
    </row>
    <row r="9" spans="1:11" x14ac:dyDescent="0.3">
      <c r="A9" s="20"/>
      <c r="B9" s="20"/>
      <c r="C9" s="95">
        <f>dagenperjaar1</f>
        <v>255</v>
      </c>
      <c r="D9" s="96" t="s">
        <v>712</v>
      </c>
      <c r="E9" s="24"/>
      <c r="F9" s="23"/>
      <c r="G9" s="97"/>
      <c r="H9" s="34">
        <f>IF(ISBLANK(G9),0,G9*C9)+IF(ISBLANK(F9),0,F9*objecturen1_1)</f>
        <v>0</v>
      </c>
      <c r="I9" s="34">
        <f>IF(C9=0,0,H9/C9)</f>
        <v>0</v>
      </c>
      <c r="J9" s="37">
        <f>IF(ISBLANK(E9),0,ROUND(E9,2)*H9)</f>
        <v>0</v>
      </c>
      <c r="K9" s="37">
        <f>J9/12</f>
        <v>0</v>
      </c>
    </row>
    <row r="10" spans="1:11" x14ac:dyDescent="0.3">
      <c r="A10" s="20"/>
      <c r="B10" s="20"/>
      <c r="C10" s="95">
        <f>dagenperjaar1</f>
        <v>255</v>
      </c>
      <c r="D10" s="96" t="s">
        <v>713</v>
      </c>
      <c r="E10" s="24"/>
      <c r="F10" s="98"/>
      <c r="G10" s="22"/>
      <c r="H10" s="34">
        <f>IF(ISBLANK(G10),0,G10*C10)+IF(ISBLANK(F10),0,F10*objecturen1_1)</f>
        <v>0</v>
      </c>
      <c r="I10" s="34">
        <f>IF(C10=0,0,H10/C10)</f>
        <v>0</v>
      </c>
      <c r="J10" s="37">
        <f>IF(ISBLANK(E10),0,ROUND(E10,2)*H10)</f>
        <v>0</v>
      </c>
      <c r="K10" s="37">
        <f>J10/12</f>
        <v>0</v>
      </c>
    </row>
    <row r="11" spans="1:11" x14ac:dyDescent="0.3">
      <c r="A11" s="25"/>
      <c r="B11" s="25"/>
      <c r="C11" s="99">
        <f>dagenperjaar1</f>
        <v>255</v>
      </c>
      <c r="D11" s="100" t="s">
        <v>713</v>
      </c>
      <c r="E11" s="29"/>
      <c r="F11" s="101"/>
      <c r="G11" s="27"/>
      <c r="H11" s="38">
        <f>IF(ISBLANK(G11),0,G11*C11)+IF(ISBLANK(F11),0,F11*objecturen1_1)</f>
        <v>0</v>
      </c>
      <c r="I11" s="38">
        <f>IF(C11=0,0,H11/C11)</f>
        <v>0</v>
      </c>
      <c r="J11" s="41">
        <f>IF(ISBLANK(E11),0,ROUND(E11,2)*H11)</f>
        <v>0</v>
      </c>
      <c r="K11" s="41">
        <f>J11/12</f>
        <v>0</v>
      </c>
    </row>
    <row r="12" spans="1:11" x14ac:dyDescent="0.3">
      <c r="A12" s="102" t="s">
        <v>714</v>
      </c>
      <c r="B12" s="44"/>
      <c r="C12" s="44"/>
      <c r="D12" s="44"/>
      <c r="E12" s="44"/>
      <c r="F12" s="44"/>
      <c r="G12" s="44"/>
      <c r="H12" s="45">
        <f>SUM(H8:H11)</f>
        <v>0</v>
      </c>
      <c r="I12" s="44"/>
      <c r="J12" s="46">
        <f>SUM(J8:J11)</f>
        <v>0</v>
      </c>
      <c r="K12" s="47">
        <f>SUM(K8:K11)</f>
        <v>0</v>
      </c>
    </row>
    <row r="13" spans="1:11" x14ac:dyDescent="0.3">
      <c r="A13" s="48"/>
      <c r="B13" s="44"/>
      <c r="C13" s="44"/>
      <c r="D13" s="44"/>
      <c r="E13" s="44"/>
      <c r="F13" s="44"/>
      <c r="G13" s="44"/>
      <c r="H13" s="44"/>
      <c r="I13" s="44"/>
      <c r="J13" s="44"/>
      <c r="K13" s="49"/>
    </row>
    <row r="14" spans="1:11" x14ac:dyDescent="0.3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1" x14ac:dyDescent="0.3">
      <c r="A15" s="91" t="s">
        <v>383</v>
      </c>
      <c r="B15" s="13"/>
      <c r="C15" s="13"/>
      <c r="D15" s="13"/>
      <c r="E15" s="13"/>
      <c r="F15" s="13"/>
      <c r="G15" s="13"/>
      <c r="H15" s="13"/>
      <c r="I15" s="13"/>
      <c r="J15" s="13"/>
      <c r="K15" s="14"/>
    </row>
    <row r="16" spans="1:11" x14ac:dyDescent="0.3">
      <c r="A16" s="15"/>
      <c r="B16" s="15"/>
      <c r="C16" s="92">
        <f>dagenperjaar1</f>
        <v>255</v>
      </c>
      <c r="D16" s="93" t="s">
        <v>712</v>
      </c>
      <c r="E16" s="19"/>
      <c r="F16" s="18"/>
      <c r="G16" s="94"/>
      <c r="H16" s="30">
        <f>IF(ISBLANK(G16),0,G16*C16)+IF(ISBLANK(F16),0,F16*objecturen2_1)</f>
        <v>0</v>
      </c>
      <c r="I16" s="30">
        <f>IF(C16=0,0,H16/C16)</f>
        <v>0</v>
      </c>
      <c r="J16" s="33">
        <f>IF(ISBLANK(E16),0,ROUND(E16,2)*H16)</f>
        <v>0</v>
      </c>
      <c r="K16" s="33">
        <f>J16/12</f>
        <v>0</v>
      </c>
    </row>
    <row r="17" spans="1:11" x14ac:dyDescent="0.3">
      <c r="A17" s="20"/>
      <c r="B17" s="20"/>
      <c r="C17" s="95">
        <f>dagenperjaar1</f>
        <v>255</v>
      </c>
      <c r="D17" s="96" t="s">
        <v>712</v>
      </c>
      <c r="E17" s="24"/>
      <c r="F17" s="23"/>
      <c r="G17" s="97"/>
      <c r="H17" s="34">
        <f>IF(ISBLANK(G17),0,G17*C17)+IF(ISBLANK(F17),0,F17*objecturen2_1)</f>
        <v>0</v>
      </c>
      <c r="I17" s="34">
        <f>IF(C17=0,0,H17/C17)</f>
        <v>0</v>
      </c>
      <c r="J17" s="37">
        <f>IF(ISBLANK(E17),0,ROUND(E17,2)*H17)</f>
        <v>0</v>
      </c>
      <c r="K17" s="37">
        <f>J17/12</f>
        <v>0</v>
      </c>
    </row>
    <row r="18" spans="1:11" x14ac:dyDescent="0.3">
      <c r="A18" s="20"/>
      <c r="B18" s="20"/>
      <c r="C18" s="95">
        <f>dagenperjaar1</f>
        <v>255</v>
      </c>
      <c r="D18" s="96" t="s">
        <v>713</v>
      </c>
      <c r="E18" s="24"/>
      <c r="F18" s="98"/>
      <c r="G18" s="22"/>
      <c r="H18" s="34">
        <f>IF(ISBLANK(G18),0,G18*C18)+IF(ISBLANK(F18),0,F18*objecturen2_1)</f>
        <v>0</v>
      </c>
      <c r="I18" s="34">
        <f>IF(C18=0,0,H18/C18)</f>
        <v>0</v>
      </c>
      <c r="J18" s="37">
        <f>IF(ISBLANK(E18),0,ROUND(E18,2)*H18)</f>
        <v>0</v>
      </c>
      <c r="K18" s="37">
        <f>J18/12</f>
        <v>0</v>
      </c>
    </row>
    <row r="19" spans="1:11" x14ac:dyDescent="0.3">
      <c r="A19" s="25"/>
      <c r="B19" s="25"/>
      <c r="C19" s="99">
        <f>dagenperjaar1</f>
        <v>255</v>
      </c>
      <c r="D19" s="100" t="s">
        <v>713</v>
      </c>
      <c r="E19" s="29"/>
      <c r="F19" s="101"/>
      <c r="G19" s="27"/>
      <c r="H19" s="38">
        <f>IF(ISBLANK(G19),0,G19*C19)+IF(ISBLANK(F19),0,F19*objecturen2_1)</f>
        <v>0</v>
      </c>
      <c r="I19" s="38">
        <f>IF(C19=0,0,H19/C19)</f>
        <v>0</v>
      </c>
      <c r="J19" s="41">
        <f>IF(ISBLANK(E19),0,ROUND(E19,2)*H19)</f>
        <v>0</v>
      </c>
      <c r="K19" s="41">
        <f>J19/12</f>
        <v>0</v>
      </c>
    </row>
    <row r="20" spans="1:11" x14ac:dyDescent="0.3">
      <c r="A20" s="102" t="s">
        <v>715</v>
      </c>
      <c r="B20" s="44"/>
      <c r="C20" s="44"/>
      <c r="D20" s="44"/>
      <c r="E20" s="44"/>
      <c r="F20" s="44"/>
      <c r="G20" s="44"/>
      <c r="H20" s="45">
        <f>SUM(H16:H19)</f>
        <v>0</v>
      </c>
      <c r="I20" s="44"/>
      <c r="J20" s="46">
        <f>SUM(J16:J19)</f>
        <v>0</v>
      </c>
      <c r="K20" s="47">
        <f>SUM(K16:K19)</f>
        <v>0</v>
      </c>
    </row>
    <row r="21" spans="1:11" x14ac:dyDescent="0.3">
      <c r="A21" s="48"/>
      <c r="B21" s="44"/>
      <c r="C21" s="44"/>
      <c r="D21" s="44"/>
      <c r="E21" s="44"/>
      <c r="F21" s="44"/>
      <c r="G21" s="44"/>
      <c r="H21" s="44"/>
      <c r="I21" s="44"/>
      <c r="J21" s="44"/>
      <c r="K21" s="49"/>
    </row>
    <row r="22" spans="1:11" x14ac:dyDescent="0.3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1"/>
    </row>
    <row r="23" spans="1:11" x14ac:dyDescent="0.3">
      <c r="A23" s="91" t="s">
        <v>523</v>
      </c>
      <c r="B23" s="13"/>
      <c r="C23" s="13"/>
      <c r="D23" s="13"/>
      <c r="E23" s="13"/>
      <c r="F23" s="13"/>
      <c r="G23" s="13"/>
      <c r="H23" s="13"/>
      <c r="I23" s="13"/>
      <c r="J23" s="13"/>
      <c r="K23" s="14"/>
    </row>
    <row r="24" spans="1:11" x14ac:dyDescent="0.3">
      <c r="A24" s="15"/>
      <c r="B24" s="15"/>
      <c r="C24" s="92">
        <f>dagenperjaar1</f>
        <v>255</v>
      </c>
      <c r="D24" s="93" t="s">
        <v>712</v>
      </c>
      <c r="E24" s="19"/>
      <c r="F24" s="18"/>
      <c r="G24" s="94"/>
      <c r="H24" s="30">
        <f>IF(ISBLANK(G24),0,G24*C24)+IF(ISBLANK(F24),0,F24*objecturen3_1)</f>
        <v>0</v>
      </c>
      <c r="I24" s="30">
        <f>IF(C24=0,0,H24/C24)</f>
        <v>0</v>
      </c>
      <c r="J24" s="33">
        <f>IF(ISBLANK(E24),0,ROUND(E24,2)*H24)</f>
        <v>0</v>
      </c>
      <c r="K24" s="33">
        <f>J24/12</f>
        <v>0</v>
      </c>
    </row>
    <row r="25" spans="1:11" x14ac:dyDescent="0.3">
      <c r="A25" s="20"/>
      <c r="B25" s="20"/>
      <c r="C25" s="95">
        <f>dagenperjaar1</f>
        <v>255</v>
      </c>
      <c r="D25" s="96" t="s">
        <v>712</v>
      </c>
      <c r="E25" s="24"/>
      <c r="F25" s="23"/>
      <c r="G25" s="97"/>
      <c r="H25" s="34">
        <f>IF(ISBLANK(G25),0,G25*C25)+IF(ISBLANK(F25),0,F25*objecturen3_1)</f>
        <v>0</v>
      </c>
      <c r="I25" s="34">
        <f>IF(C25=0,0,H25/C25)</f>
        <v>0</v>
      </c>
      <c r="J25" s="37">
        <f>IF(ISBLANK(E25),0,ROUND(E25,2)*H25)</f>
        <v>0</v>
      </c>
      <c r="K25" s="37">
        <f>J25/12</f>
        <v>0</v>
      </c>
    </row>
    <row r="26" spans="1:11" x14ac:dyDescent="0.3">
      <c r="A26" s="20"/>
      <c r="B26" s="20"/>
      <c r="C26" s="95">
        <f>dagenperjaar1</f>
        <v>255</v>
      </c>
      <c r="D26" s="96" t="s">
        <v>713</v>
      </c>
      <c r="E26" s="24"/>
      <c r="F26" s="98"/>
      <c r="G26" s="22"/>
      <c r="H26" s="34">
        <f>IF(ISBLANK(G26),0,G26*C26)+IF(ISBLANK(F26),0,F26*objecturen3_1)</f>
        <v>0</v>
      </c>
      <c r="I26" s="34">
        <f>IF(C26=0,0,H26/C26)</f>
        <v>0</v>
      </c>
      <c r="J26" s="37">
        <f>IF(ISBLANK(E26),0,ROUND(E26,2)*H26)</f>
        <v>0</v>
      </c>
      <c r="K26" s="37">
        <f>J26/12</f>
        <v>0</v>
      </c>
    </row>
    <row r="27" spans="1:11" x14ac:dyDescent="0.3">
      <c r="A27" s="25"/>
      <c r="B27" s="25"/>
      <c r="C27" s="99">
        <f>dagenperjaar1</f>
        <v>255</v>
      </c>
      <c r="D27" s="100" t="s">
        <v>713</v>
      </c>
      <c r="E27" s="29"/>
      <c r="F27" s="101"/>
      <c r="G27" s="27"/>
      <c r="H27" s="38">
        <f>IF(ISBLANK(G27),0,G27*C27)+IF(ISBLANK(F27),0,F27*objecturen3_1)</f>
        <v>0</v>
      </c>
      <c r="I27" s="38">
        <f>IF(C27=0,0,H27/C27)</f>
        <v>0</v>
      </c>
      <c r="J27" s="41">
        <f>IF(ISBLANK(E27),0,ROUND(E27,2)*H27)</f>
        <v>0</v>
      </c>
      <c r="K27" s="41">
        <f>J27/12</f>
        <v>0</v>
      </c>
    </row>
    <row r="28" spans="1:11" x14ac:dyDescent="0.3">
      <c r="A28" s="102" t="s">
        <v>716</v>
      </c>
      <c r="B28" s="44"/>
      <c r="C28" s="44"/>
      <c r="D28" s="44"/>
      <c r="E28" s="44"/>
      <c r="F28" s="44"/>
      <c r="G28" s="44"/>
      <c r="H28" s="45">
        <f>SUM(H24:H27)</f>
        <v>0</v>
      </c>
      <c r="I28" s="44"/>
      <c r="J28" s="46">
        <f>SUM(J24:J27)</f>
        <v>0</v>
      </c>
      <c r="K28" s="47">
        <f>SUM(K24:K27)</f>
        <v>0</v>
      </c>
    </row>
    <row r="29" spans="1:11" x14ac:dyDescent="0.3">
      <c r="A29" s="48"/>
      <c r="B29" s="44"/>
      <c r="C29" s="44"/>
      <c r="D29" s="44"/>
      <c r="E29" s="44"/>
      <c r="F29" s="44"/>
      <c r="G29" s="44"/>
      <c r="H29" s="44"/>
      <c r="I29" s="44"/>
      <c r="J29" s="44"/>
      <c r="K29" s="49"/>
    </row>
    <row r="30" spans="1:11" x14ac:dyDescent="0.3">
      <c r="A30" s="43" t="s">
        <v>219</v>
      </c>
      <c r="B30" s="44"/>
      <c r="C30" s="44"/>
      <c r="D30" s="44"/>
      <c r="E30" s="44"/>
      <c r="F30" s="44"/>
      <c r="G30" s="44"/>
      <c r="H30" s="45">
        <f>tzujt1_1+tzujt2_1+tzujt3_1</f>
        <v>0</v>
      </c>
      <c r="I30" s="44"/>
      <c r="J30" s="46">
        <f>tzpjt1_1+tzpjt2_1+tzpjt3_1</f>
        <v>0</v>
      </c>
      <c r="K30" s="47">
        <f>tzpmt1_1+tzpmt2_1+tzpmt3_1</f>
        <v>0</v>
      </c>
    </row>
    <row r="31" spans="1:11" x14ac:dyDescent="0.3">
      <c r="A31" s="48"/>
      <c r="B31" s="44"/>
      <c r="C31" s="44"/>
      <c r="D31" s="44"/>
      <c r="E31" s="44"/>
      <c r="F31" s="44"/>
      <c r="G31" s="44"/>
      <c r="H31" s="44"/>
      <c r="I31" s="44"/>
      <c r="J31" s="44"/>
      <c r="K31" s="49"/>
    </row>
    <row r="33" spans="1:11" x14ac:dyDescent="0.3">
      <c r="A33" s="43" t="s">
        <v>717</v>
      </c>
      <c r="B33" s="44"/>
      <c r="C33" s="44"/>
      <c r="D33" s="44"/>
      <c r="E33" s="44"/>
      <c r="F33" s="44"/>
      <c r="G33" s="44"/>
      <c r="H33" s="45">
        <f>tzujt1</f>
        <v>0</v>
      </c>
      <c r="I33" s="44"/>
      <c r="J33" s="46">
        <f>tzpjt1</f>
        <v>0</v>
      </c>
      <c r="K33" s="46">
        <f>tzpmt1</f>
        <v>0</v>
      </c>
    </row>
    <row r="35" spans="1:11" x14ac:dyDescent="0.3">
      <c r="A35" s="43" t="s">
        <v>718</v>
      </c>
      <c r="B35" s="44"/>
      <c r="C35" s="44"/>
      <c r="D35" s="44"/>
      <c r="E35" s="44"/>
      <c r="F35" s="44"/>
      <c r="G35" s="44"/>
      <c r="H35" s="44"/>
      <c r="I35" s="44"/>
      <c r="J35" s="46">
        <f>J33*1.21</f>
        <v>0</v>
      </c>
      <c r="K35" s="46">
        <f>K33*1.21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                                   
CONCEPT PER 01-01-2022&amp;ROpmaakdatum: 07-12-2021
Intexso - De Start 5 - Leusden
+31 (33) 2778485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60A06-A49E-40C9-97B2-A080304DD288}">
  <dimension ref="A1:E21"/>
  <sheetViews>
    <sheetView workbookViewId="0"/>
  </sheetViews>
  <sheetFormatPr defaultRowHeight="14.4" x14ac:dyDescent="0.3"/>
  <cols>
    <col min="1" max="1" width="25.77734375" customWidth="1"/>
    <col min="2" max="5" width="20.77734375" customWidth="1"/>
  </cols>
  <sheetData>
    <row r="1" spans="1:5" x14ac:dyDescent="0.3">
      <c r="A1" s="1" t="str">
        <f>CONCATENATE("Bijlage G.6: ",tabeltype," totaalblad objecten")</f>
        <v>Bijlage G.6: Invultabel totaalblad objecten</v>
      </c>
    </row>
    <row r="3" spans="1:5" x14ac:dyDescent="0.3">
      <c r="A3" s="103" t="s">
        <v>719</v>
      </c>
      <c r="B3" s="107" t="s">
        <v>735</v>
      </c>
      <c r="C3" s="107" t="s">
        <v>233</v>
      </c>
      <c r="D3" s="107" t="s">
        <v>384</v>
      </c>
      <c r="E3" s="107" t="s">
        <v>524</v>
      </c>
    </row>
    <row r="4" spans="1:5" x14ac:dyDescent="0.3">
      <c r="A4" s="104" t="s">
        <v>720</v>
      </c>
      <c r="B4" s="109"/>
      <c r="C4" s="108" t="s">
        <v>234</v>
      </c>
      <c r="D4" s="108" t="s">
        <v>234</v>
      </c>
      <c r="E4" s="108" t="s">
        <v>234</v>
      </c>
    </row>
    <row r="5" spans="1:5" x14ac:dyDescent="0.3">
      <c r="A5" s="104" t="s">
        <v>721</v>
      </c>
      <c r="B5" s="109"/>
      <c r="C5" s="108" t="s">
        <v>694</v>
      </c>
      <c r="D5" s="108" t="s">
        <v>697</v>
      </c>
      <c r="E5" s="108" t="s">
        <v>699</v>
      </c>
    </row>
    <row r="6" spans="1:5" x14ac:dyDescent="0.3">
      <c r="A6" s="104" t="s">
        <v>722</v>
      </c>
      <c r="B6" s="109"/>
      <c r="C6" s="108" t="s">
        <v>695</v>
      </c>
      <c r="D6" s="108" t="s">
        <v>698</v>
      </c>
      <c r="E6" s="108" t="s">
        <v>700</v>
      </c>
    </row>
    <row r="7" spans="1:5" x14ac:dyDescent="0.3">
      <c r="A7" s="104" t="s">
        <v>723</v>
      </c>
      <c r="B7" s="109"/>
      <c r="C7" s="108" t="s">
        <v>696</v>
      </c>
      <c r="D7" s="108" t="s">
        <v>696</v>
      </c>
      <c r="E7" s="108" t="s">
        <v>696</v>
      </c>
    </row>
    <row r="8" spans="1:5" x14ac:dyDescent="0.3">
      <c r="A8" s="104" t="s">
        <v>724</v>
      </c>
      <c r="B8" s="97">
        <f>SUM(C8:E8)</f>
        <v>15861.5</v>
      </c>
      <c r="C8" s="97">
        <v>2809</v>
      </c>
      <c r="D8" s="97">
        <v>7763.5</v>
      </c>
      <c r="E8" s="97">
        <v>5289</v>
      </c>
    </row>
    <row r="9" spans="1:5" x14ac:dyDescent="0.3">
      <c r="A9" s="104" t="s">
        <v>234</v>
      </c>
      <c r="B9" s="109"/>
      <c r="C9" s="109"/>
      <c r="D9" s="109"/>
      <c r="E9" s="109"/>
    </row>
    <row r="10" spans="1:5" x14ac:dyDescent="0.3">
      <c r="A10" s="104" t="s">
        <v>725</v>
      </c>
      <c r="B10" s="34">
        <f>SUM(C10:E10)</f>
        <v>0</v>
      </c>
      <c r="C10" s="97">
        <f>objecturenhf1_1</f>
        <v>0</v>
      </c>
      <c r="D10" s="97">
        <f>objecturenhf2_1</f>
        <v>0</v>
      </c>
      <c r="E10" s="97">
        <f>objecturenhf3_1</f>
        <v>0</v>
      </c>
    </row>
    <row r="11" spans="1:5" x14ac:dyDescent="0.3">
      <c r="A11" s="104" t="s">
        <v>726</v>
      </c>
      <c r="B11" s="34">
        <f>SUM(C11:E11)</f>
        <v>0</v>
      </c>
      <c r="C11" s="34">
        <f>objecturen1_1</f>
        <v>0</v>
      </c>
      <c r="D11" s="34">
        <f>objecturen2_1</f>
        <v>0</v>
      </c>
      <c r="E11" s="34">
        <f>objecturen3_1</f>
        <v>0</v>
      </c>
    </row>
    <row r="12" spans="1:5" ht="28.8" x14ac:dyDescent="0.3">
      <c r="A12" s="104" t="s">
        <v>727</v>
      </c>
      <c r="B12" s="34">
        <f>IF(AND(urenjaartotaal1&gt;0,dagenperjaar1&gt;0),B8/(urenjaartotaal1/dagenperjaar1),0)</f>
        <v>0</v>
      </c>
      <c r="C12" s="34">
        <f>IF(AND(objecturen1_1&gt;0,dagenperjaar1&gt;0),C8/(objecturen1_1/dagenperjaar1),0)</f>
        <v>0</v>
      </c>
      <c r="D12" s="34">
        <f>IF(AND(objecturen2_1&gt;0,dagenperjaar1&gt;0),D8/(objecturen2_1/dagenperjaar1),0)</f>
        <v>0</v>
      </c>
      <c r="E12" s="34">
        <f>IF(AND(objecturen3_1&gt;0,dagenperjaar1&gt;0),E8/(objecturen3_1/dagenperjaar1),0)</f>
        <v>0</v>
      </c>
    </row>
    <row r="13" spans="1:5" x14ac:dyDescent="0.3">
      <c r="A13" s="104" t="s">
        <v>728</v>
      </c>
      <c r="B13" s="37">
        <f t="shared" ref="B13:B18" si="0">SUM(C13:E13)</f>
        <v>0</v>
      </c>
      <c r="C13" s="37">
        <f>objectprijs1_1</f>
        <v>0</v>
      </c>
      <c r="D13" s="37">
        <f>objectprijs2_1</f>
        <v>0</v>
      </c>
      <c r="E13" s="37">
        <f>objectprijs3_1</f>
        <v>0</v>
      </c>
    </row>
    <row r="14" spans="1:5" x14ac:dyDescent="0.3">
      <c r="A14" s="104" t="s">
        <v>729</v>
      </c>
      <c r="B14" s="34">
        <f t="shared" si="0"/>
        <v>0</v>
      </c>
      <c r="C14" s="34">
        <f>tzujt1_1</f>
        <v>0</v>
      </c>
      <c r="D14" s="34">
        <f>tzujt2_1</f>
        <v>0</v>
      </c>
      <c r="E14" s="34">
        <f>tzujt3_1</f>
        <v>0</v>
      </c>
    </row>
    <row r="15" spans="1:5" x14ac:dyDescent="0.3">
      <c r="A15" s="104" t="s">
        <v>730</v>
      </c>
      <c r="B15" s="37">
        <f t="shared" si="0"/>
        <v>0</v>
      </c>
      <c r="C15" s="37">
        <f>tzpjt1_1</f>
        <v>0</v>
      </c>
      <c r="D15" s="37">
        <f>tzpjt2_1</f>
        <v>0</v>
      </c>
      <c r="E15" s="37">
        <f>tzpjt3_1</f>
        <v>0</v>
      </c>
    </row>
    <row r="16" spans="1:5" x14ac:dyDescent="0.3">
      <c r="A16" s="104" t="s">
        <v>731</v>
      </c>
      <c r="B16" s="37">
        <f t="shared" si="0"/>
        <v>0</v>
      </c>
      <c r="C16" s="37">
        <f>C13+C15</f>
        <v>0</v>
      </c>
      <c r="D16" s="37">
        <f>D13+D15</f>
        <v>0</v>
      </c>
      <c r="E16" s="37">
        <f>E13+E15</f>
        <v>0</v>
      </c>
    </row>
    <row r="17" spans="1:5" x14ac:dyDescent="0.3">
      <c r="A17" s="104" t="s">
        <v>732</v>
      </c>
      <c r="B17" s="37">
        <f t="shared" si="0"/>
        <v>0</v>
      </c>
      <c r="C17" s="37">
        <f>C16/12</f>
        <v>0</v>
      </c>
      <c r="D17" s="37">
        <f>D16/12</f>
        <v>0</v>
      </c>
      <c r="E17" s="37">
        <f>E16/12</f>
        <v>0</v>
      </c>
    </row>
    <row r="18" spans="1:5" x14ac:dyDescent="0.3">
      <c r="A18" s="104" t="s">
        <v>733</v>
      </c>
      <c r="B18" s="37">
        <f t="shared" si="0"/>
        <v>0</v>
      </c>
      <c r="C18" s="37">
        <f>C17*1.21</f>
        <v>0</v>
      </c>
      <c r="D18" s="37">
        <f>D17*1.21</f>
        <v>0</v>
      </c>
      <c r="E18" s="37">
        <f>E17*1.21</f>
        <v>0</v>
      </c>
    </row>
    <row r="19" spans="1:5" x14ac:dyDescent="0.3">
      <c r="A19" s="104" t="s">
        <v>234</v>
      </c>
      <c r="B19" s="109"/>
      <c r="C19" s="109"/>
      <c r="D19" s="109"/>
      <c r="E19" s="109"/>
    </row>
    <row r="20" spans="1:5" x14ac:dyDescent="0.3">
      <c r="A20" s="104" t="s">
        <v>234</v>
      </c>
      <c r="B20" s="109"/>
      <c r="C20" s="109"/>
      <c r="D20" s="109"/>
      <c r="E20" s="109"/>
    </row>
    <row r="21" spans="1:5" x14ac:dyDescent="0.3">
      <c r="A21" s="105" t="s">
        <v>734</v>
      </c>
      <c r="B21" s="41">
        <f>IF(B8&gt;0,B16/B8,0)</f>
        <v>0</v>
      </c>
      <c r="C21" s="41">
        <f>IF(C8&gt;0,C16/C8,0)</f>
        <v>0</v>
      </c>
      <c r="D21" s="41">
        <f>IF(D8&gt;0,D16/D8,0)</f>
        <v>0</v>
      </c>
      <c r="E21" s="41">
        <f>IF(E8&gt;0,E16/E8,0)</f>
        <v>0</v>
      </c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                                   
CONCEPT PER 01-01-2022&amp;ROpmaakdatum: 07-12-2021
Intexso - De Start 5 - Leusden
+31 (33) 2778485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4189-2AF4-423A-9D3F-7C1EFF9FFAD9}">
  <dimension ref="A1:E74"/>
  <sheetViews>
    <sheetView workbookViewId="0"/>
  </sheetViews>
  <sheetFormatPr defaultRowHeight="14.4" x14ac:dyDescent="0.3"/>
  <cols>
    <col min="1" max="1" width="7.77734375" customWidth="1"/>
    <col min="2" max="2" width="40.77734375" customWidth="1"/>
    <col min="3" max="3" width="18.77734375" customWidth="1"/>
    <col min="4" max="4" width="20.77734375" customWidth="1"/>
    <col min="5" max="5" width="15.77734375" customWidth="1"/>
  </cols>
  <sheetData>
    <row r="1" spans="1:5" x14ac:dyDescent="0.3">
      <c r="A1" s="1" t="str">
        <f>CONCATENATE("Bijlage G.7: ",tabeltype," afroep incidenteel")</f>
        <v>Bijlage G.7: Invultabel afroep incidenteel</v>
      </c>
    </row>
    <row r="3" spans="1:5" ht="28.8" x14ac:dyDescent="0.3">
      <c r="A3" s="8" t="s">
        <v>736</v>
      </c>
      <c r="B3" s="8" t="s">
        <v>29</v>
      </c>
      <c r="C3" s="8" t="s">
        <v>32</v>
      </c>
      <c r="D3" s="8" t="s">
        <v>737</v>
      </c>
      <c r="E3" s="8" t="s">
        <v>738</v>
      </c>
    </row>
    <row r="4" spans="1:5" x14ac:dyDescent="0.3">
      <c r="A4" s="9"/>
      <c r="B4" s="10"/>
      <c r="C4" s="10"/>
      <c r="D4" s="10"/>
      <c r="E4" s="11"/>
    </row>
    <row r="5" spans="1:5" x14ac:dyDescent="0.3">
      <c r="A5" s="12" t="s">
        <v>34</v>
      </c>
      <c r="B5" s="13"/>
      <c r="C5" s="13"/>
      <c r="D5" s="13"/>
      <c r="E5" s="14"/>
    </row>
    <row r="6" spans="1:5" x14ac:dyDescent="0.3">
      <c r="A6" s="15" t="s">
        <v>739</v>
      </c>
      <c r="B6" s="15" t="s">
        <v>740</v>
      </c>
      <c r="C6" s="15" t="s">
        <v>741</v>
      </c>
      <c r="D6" s="15" t="s">
        <v>742</v>
      </c>
      <c r="E6" s="19"/>
    </row>
    <row r="7" spans="1:5" x14ac:dyDescent="0.3">
      <c r="A7" s="20" t="s">
        <v>743</v>
      </c>
      <c r="B7" s="20" t="s">
        <v>740</v>
      </c>
      <c r="C7" s="20" t="s">
        <v>741</v>
      </c>
      <c r="D7" s="20" t="s">
        <v>744</v>
      </c>
      <c r="E7" s="24"/>
    </row>
    <row r="8" spans="1:5" x14ac:dyDescent="0.3">
      <c r="A8" s="20" t="s">
        <v>745</v>
      </c>
      <c r="B8" s="20" t="s">
        <v>740</v>
      </c>
      <c r="C8" s="20" t="s">
        <v>741</v>
      </c>
      <c r="D8" s="20" t="s">
        <v>746</v>
      </c>
      <c r="E8" s="24"/>
    </row>
    <row r="9" spans="1:5" x14ac:dyDescent="0.3">
      <c r="A9" s="20" t="s">
        <v>747</v>
      </c>
      <c r="B9" s="20" t="s">
        <v>740</v>
      </c>
      <c r="C9" s="20" t="s">
        <v>741</v>
      </c>
      <c r="D9" s="20" t="s">
        <v>748</v>
      </c>
      <c r="E9" s="24"/>
    </row>
    <row r="10" spans="1:5" x14ac:dyDescent="0.3">
      <c r="A10" s="20" t="s">
        <v>749</v>
      </c>
      <c r="B10" s="20" t="s">
        <v>750</v>
      </c>
      <c r="C10" s="20" t="s">
        <v>741</v>
      </c>
      <c r="D10" s="20" t="s">
        <v>742</v>
      </c>
      <c r="E10" s="24"/>
    </row>
    <row r="11" spans="1:5" x14ac:dyDescent="0.3">
      <c r="A11" s="20" t="s">
        <v>751</v>
      </c>
      <c r="B11" s="20" t="s">
        <v>750</v>
      </c>
      <c r="C11" s="20" t="s">
        <v>741</v>
      </c>
      <c r="D11" s="20" t="s">
        <v>744</v>
      </c>
      <c r="E11" s="24"/>
    </row>
    <row r="12" spans="1:5" x14ac:dyDescent="0.3">
      <c r="A12" s="20" t="s">
        <v>752</v>
      </c>
      <c r="B12" s="20" t="s">
        <v>750</v>
      </c>
      <c r="C12" s="20" t="s">
        <v>741</v>
      </c>
      <c r="D12" s="20" t="s">
        <v>746</v>
      </c>
      <c r="E12" s="24"/>
    </row>
    <row r="13" spans="1:5" x14ac:dyDescent="0.3">
      <c r="A13" s="20" t="s">
        <v>753</v>
      </c>
      <c r="B13" s="20" t="s">
        <v>750</v>
      </c>
      <c r="C13" s="20" t="s">
        <v>741</v>
      </c>
      <c r="D13" s="20" t="s">
        <v>748</v>
      </c>
      <c r="E13" s="24"/>
    </row>
    <row r="14" spans="1:5" x14ac:dyDescent="0.3">
      <c r="A14" s="20" t="s">
        <v>754</v>
      </c>
      <c r="B14" s="20" t="s">
        <v>755</v>
      </c>
      <c r="C14" s="20" t="s">
        <v>741</v>
      </c>
      <c r="D14" s="20" t="s">
        <v>742</v>
      </c>
      <c r="E14" s="24"/>
    </row>
    <row r="15" spans="1:5" x14ac:dyDescent="0.3">
      <c r="A15" s="20" t="s">
        <v>756</v>
      </c>
      <c r="B15" s="20" t="s">
        <v>755</v>
      </c>
      <c r="C15" s="20" t="s">
        <v>741</v>
      </c>
      <c r="D15" s="20" t="s">
        <v>744</v>
      </c>
      <c r="E15" s="24"/>
    </row>
    <row r="16" spans="1:5" x14ac:dyDescent="0.3">
      <c r="A16" s="20" t="s">
        <v>757</v>
      </c>
      <c r="B16" s="20" t="s">
        <v>755</v>
      </c>
      <c r="C16" s="20" t="s">
        <v>741</v>
      </c>
      <c r="D16" s="20" t="s">
        <v>746</v>
      </c>
      <c r="E16" s="24"/>
    </row>
    <row r="17" spans="1:5" x14ac:dyDescent="0.3">
      <c r="A17" s="20" t="s">
        <v>758</v>
      </c>
      <c r="B17" s="20" t="s">
        <v>755</v>
      </c>
      <c r="C17" s="20" t="s">
        <v>741</v>
      </c>
      <c r="D17" s="20" t="s">
        <v>748</v>
      </c>
      <c r="E17" s="24"/>
    </row>
    <row r="18" spans="1:5" x14ac:dyDescent="0.3">
      <c r="A18" s="20" t="s">
        <v>759</v>
      </c>
      <c r="B18" s="20" t="s">
        <v>760</v>
      </c>
      <c r="C18" s="20" t="s">
        <v>741</v>
      </c>
      <c r="D18" s="20" t="s">
        <v>742</v>
      </c>
      <c r="E18" s="24"/>
    </row>
    <row r="19" spans="1:5" x14ac:dyDescent="0.3">
      <c r="A19" s="20" t="s">
        <v>761</v>
      </c>
      <c r="B19" s="20" t="s">
        <v>760</v>
      </c>
      <c r="C19" s="20" t="s">
        <v>741</v>
      </c>
      <c r="D19" s="20" t="s">
        <v>744</v>
      </c>
      <c r="E19" s="24"/>
    </row>
    <row r="20" spans="1:5" x14ac:dyDescent="0.3">
      <c r="A20" s="20" t="s">
        <v>762</v>
      </c>
      <c r="B20" s="20" t="s">
        <v>760</v>
      </c>
      <c r="C20" s="20" t="s">
        <v>741</v>
      </c>
      <c r="D20" s="20" t="s">
        <v>746</v>
      </c>
      <c r="E20" s="24"/>
    </row>
    <row r="21" spans="1:5" x14ac:dyDescent="0.3">
      <c r="A21" s="20" t="s">
        <v>763</v>
      </c>
      <c r="B21" s="20" t="s">
        <v>760</v>
      </c>
      <c r="C21" s="20" t="s">
        <v>741</v>
      </c>
      <c r="D21" s="20" t="s">
        <v>748</v>
      </c>
      <c r="E21" s="24"/>
    </row>
    <row r="22" spans="1:5" x14ac:dyDescent="0.3">
      <c r="A22" s="20" t="s">
        <v>764</v>
      </c>
      <c r="B22" s="20" t="s">
        <v>765</v>
      </c>
      <c r="C22" s="20" t="s">
        <v>766</v>
      </c>
      <c r="D22" s="20" t="s">
        <v>767</v>
      </c>
      <c r="E22" s="24"/>
    </row>
    <row r="23" spans="1:5" x14ac:dyDescent="0.3">
      <c r="A23" s="20" t="s">
        <v>768</v>
      </c>
      <c r="B23" s="20" t="s">
        <v>765</v>
      </c>
      <c r="C23" s="20" t="s">
        <v>766</v>
      </c>
      <c r="D23" s="20" t="s">
        <v>769</v>
      </c>
      <c r="E23" s="24"/>
    </row>
    <row r="24" spans="1:5" x14ac:dyDescent="0.3">
      <c r="A24" s="20" t="s">
        <v>770</v>
      </c>
      <c r="B24" s="20" t="s">
        <v>765</v>
      </c>
      <c r="C24" s="20" t="s">
        <v>766</v>
      </c>
      <c r="D24" s="20" t="s">
        <v>771</v>
      </c>
      <c r="E24" s="24"/>
    </row>
    <row r="25" spans="1:5" x14ac:dyDescent="0.3">
      <c r="A25" s="20" t="s">
        <v>772</v>
      </c>
      <c r="B25" s="20" t="s">
        <v>765</v>
      </c>
      <c r="C25" s="20" t="s">
        <v>766</v>
      </c>
      <c r="D25" s="20" t="s">
        <v>773</v>
      </c>
      <c r="E25" s="24"/>
    </row>
    <row r="26" spans="1:5" x14ac:dyDescent="0.3">
      <c r="A26" s="20" t="s">
        <v>774</v>
      </c>
      <c r="B26" s="20" t="s">
        <v>775</v>
      </c>
      <c r="C26" s="20" t="s">
        <v>766</v>
      </c>
      <c r="D26" s="20" t="s">
        <v>767</v>
      </c>
      <c r="E26" s="24"/>
    </row>
    <row r="27" spans="1:5" x14ac:dyDescent="0.3">
      <c r="A27" s="20" t="s">
        <v>776</v>
      </c>
      <c r="B27" s="20" t="s">
        <v>775</v>
      </c>
      <c r="C27" s="20" t="s">
        <v>766</v>
      </c>
      <c r="D27" s="20" t="s">
        <v>769</v>
      </c>
      <c r="E27" s="24"/>
    </row>
    <row r="28" spans="1:5" x14ac:dyDescent="0.3">
      <c r="A28" s="20" t="s">
        <v>777</v>
      </c>
      <c r="B28" s="20" t="s">
        <v>775</v>
      </c>
      <c r="C28" s="20" t="s">
        <v>766</v>
      </c>
      <c r="D28" s="20" t="s">
        <v>771</v>
      </c>
      <c r="E28" s="24"/>
    </row>
    <row r="29" spans="1:5" x14ac:dyDescent="0.3">
      <c r="A29" s="20" t="s">
        <v>778</v>
      </c>
      <c r="B29" s="20" t="s">
        <v>775</v>
      </c>
      <c r="C29" s="20" t="s">
        <v>766</v>
      </c>
      <c r="D29" s="20" t="s">
        <v>773</v>
      </c>
      <c r="E29" s="24"/>
    </row>
    <row r="30" spans="1:5" x14ac:dyDescent="0.3">
      <c r="A30" s="20" t="s">
        <v>779</v>
      </c>
      <c r="B30" s="20" t="s">
        <v>780</v>
      </c>
      <c r="C30" s="20" t="s">
        <v>766</v>
      </c>
      <c r="D30" s="20" t="s">
        <v>767</v>
      </c>
      <c r="E30" s="24"/>
    </row>
    <row r="31" spans="1:5" x14ac:dyDescent="0.3">
      <c r="A31" s="20" t="s">
        <v>781</v>
      </c>
      <c r="B31" s="20" t="s">
        <v>780</v>
      </c>
      <c r="C31" s="20" t="s">
        <v>766</v>
      </c>
      <c r="D31" s="20" t="s">
        <v>769</v>
      </c>
      <c r="E31" s="24"/>
    </row>
    <row r="32" spans="1:5" x14ac:dyDescent="0.3">
      <c r="A32" s="20" t="s">
        <v>782</v>
      </c>
      <c r="B32" s="20" t="s">
        <v>780</v>
      </c>
      <c r="C32" s="20" t="s">
        <v>766</v>
      </c>
      <c r="D32" s="20" t="s">
        <v>771</v>
      </c>
      <c r="E32" s="24"/>
    </row>
    <row r="33" spans="1:5" x14ac:dyDescent="0.3">
      <c r="A33" s="20" t="s">
        <v>783</v>
      </c>
      <c r="B33" s="20" t="s">
        <v>780</v>
      </c>
      <c r="C33" s="20" t="s">
        <v>766</v>
      </c>
      <c r="D33" s="20" t="s">
        <v>773</v>
      </c>
      <c r="E33" s="24"/>
    </row>
    <row r="34" spans="1:5" x14ac:dyDescent="0.3">
      <c r="A34" s="20" t="s">
        <v>784</v>
      </c>
      <c r="B34" s="20" t="s">
        <v>785</v>
      </c>
      <c r="C34" s="20" t="s">
        <v>766</v>
      </c>
      <c r="D34" s="20" t="s">
        <v>234</v>
      </c>
      <c r="E34" s="24"/>
    </row>
    <row r="35" spans="1:5" x14ac:dyDescent="0.3">
      <c r="A35" s="20" t="s">
        <v>786</v>
      </c>
      <c r="B35" s="20" t="s">
        <v>787</v>
      </c>
      <c r="C35" s="20" t="s">
        <v>788</v>
      </c>
      <c r="D35" s="20" t="s">
        <v>234</v>
      </c>
      <c r="E35" s="24"/>
    </row>
    <row r="36" spans="1:5" x14ac:dyDescent="0.3">
      <c r="A36" s="20" t="s">
        <v>789</v>
      </c>
      <c r="B36" s="20" t="s">
        <v>790</v>
      </c>
      <c r="C36" s="20" t="s">
        <v>766</v>
      </c>
      <c r="D36" s="20" t="s">
        <v>791</v>
      </c>
      <c r="E36" s="24"/>
    </row>
    <row r="37" spans="1:5" x14ac:dyDescent="0.3">
      <c r="A37" s="20" t="s">
        <v>792</v>
      </c>
      <c r="B37" s="20" t="s">
        <v>790</v>
      </c>
      <c r="C37" s="20" t="s">
        <v>766</v>
      </c>
      <c r="D37" s="20" t="s">
        <v>793</v>
      </c>
      <c r="E37" s="24"/>
    </row>
    <row r="38" spans="1:5" x14ac:dyDescent="0.3">
      <c r="A38" s="20" t="s">
        <v>794</v>
      </c>
      <c r="B38" s="20" t="s">
        <v>790</v>
      </c>
      <c r="C38" s="20" t="s">
        <v>766</v>
      </c>
      <c r="D38" s="20" t="s">
        <v>795</v>
      </c>
      <c r="E38" s="24"/>
    </row>
    <row r="39" spans="1:5" x14ac:dyDescent="0.3">
      <c r="A39" s="20" t="s">
        <v>796</v>
      </c>
      <c r="B39" s="20" t="s">
        <v>790</v>
      </c>
      <c r="C39" s="20" t="s">
        <v>766</v>
      </c>
      <c r="D39" s="20" t="s">
        <v>797</v>
      </c>
      <c r="E39" s="24"/>
    </row>
    <row r="40" spans="1:5" x14ac:dyDescent="0.3">
      <c r="A40" s="20" t="s">
        <v>798</v>
      </c>
      <c r="B40" s="20" t="s">
        <v>799</v>
      </c>
      <c r="C40" s="20" t="s">
        <v>766</v>
      </c>
      <c r="D40" s="20" t="s">
        <v>791</v>
      </c>
      <c r="E40" s="24"/>
    </row>
    <row r="41" spans="1:5" x14ac:dyDescent="0.3">
      <c r="A41" s="20" t="s">
        <v>800</v>
      </c>
      <c r="B41" s="20" t="s">
        <v>799</v>
      </c>
      <c r="C41" s="20" t="s">
        <v>766</v>
      </c>
      <c r="D41" s="20" t="s">
        <v>793</v>
      </c>
      <c r="E41" s="24"/>
    </row>
    <row r="42" spans="1:5" x14ac:dyDescent="0.3">
      <c r="A42" s="20" t="s">
        <v>801</v>
      </c>
      <c r="B42" s="20" t="s">
        <v>799</v>
      </c>
      <c r="C42" s="20" t="s">
        <v>766</v>
      </c>
      <c r="D42" s="20" t="s">
        <v>795</v>
      </c>
      <c r="E42" s="24"/>
    </row>
    <row r="43" spans="1:5" x14ac:dyDescent="0.3">
      <c r="A43" s="20" t="s">
        <v>802</v>
      </c>
      <c r="B43" s="20" t="s">
        <v>799</v>
      </c>
      <c r="C43" s="20" t="s">
        <v>766</v>
      </c>
      <c r="D43" s="20" t="s">
        <v>797</v>
      </c>
      <c r="E43" s="24"/>
    </row>
    <row r="44" spans="1:5" x14ac:dyDescent="0.3">
      <c r="A44" s="20" t="s">
        <v>803</v>
      </c>
      <c r="B44" s="20" t="s">
        <v>804</v>
      </c>
      <c r="C44" s="20" t="s">
        <v>766</v>
      </c>
      <c r="D44" s="20" t="s">
        <v>791</v>
      </c>
      <c r="E44" s="24"/>
    </row>
    <row r="45" spans="1:5" x14ac:dyDescent="0.3">
      <c r="A45" s="20" t="s">
        <v>805</v>
      </c>
      <c r="B45" s="20" t="s">
        <v>804</v>
      </c>
      <c r="C45" s="20" t="s">
        <v>766</v>
      </c>
      <c r="D45" s="20" t="s">
        <v>793</v>
      </c>
      <c r="E45" s="24"/>
    </row>
    <row r="46" spans="1:5" x14ac:dyDescent="0.3">
      <c r="A46" s="20" t="s">
        <v>806</v>
      </c>
      <c r="B46" s="20" t="s">
        <v>804</v>
      </c>
      <c r="C46" s="20" t="s">
        <v>766</v>
      </c>
      <c r="D46" s="20" t="s">
        <v>795</v>
      </c>
      <c r="E46" s="24"/>
    </row>
    <row r="47" spans="1:5" x14ac:dyDescent="0.3">
      <c r="A47" s="20" t="s">
        <v>807</v>
      </c>
      <c r="B47" s="20" t="s">
        <v>804</v>
      </c>
      <c r="C47" s="20" t="s">
        <v>766</v>
      </c>
      <c r="D47" s="20" t="s">
        <v>797</v>
      </c>
      <c r="E47" s="24"/>
    </row>
    <row r="48" spans="1:5" x14ac:dyDescent="0.3">
      <c r="A48" s="20" t="s">
        <v>808</v>
      </c>
      <c r="B48" s="20" t="s">
        <v>809</v>
      </c>
      <c r="C48" s="20" t="s">
        <v>766</v>
      </c>
      <c r="D48" s="20" t="s">
        <v>791</v>
      </c>
      <c r="E48" s="24"/>
    </row>
    <row r="49" spans="1:5" x14ac:dyDescent="0.3">
      <c r="A49" s="20" t="s">
        <v>810</v>
      </c>
      <c r="B49" s="20" t="s">
        <v>809</v>
      </c>
      <c r="C49" s="20" t="s">
        <v>766</v>
      </c>
      <c r="D49" s="20" t="s">
        <v>793</v>
      </c>
      <c r="E49" s="24"/>
    </row>
    <row r="50" spans="1:5" x14ac:dyDescent="0.3">
      <c r="A50" s="20" t="s">
        <v>811</v>
      </c>
      <c r="B50" s="20" t="s">
        <v>809</v>
      </c>
      <c r="C50" s="20" t="s">
        <v>766</v>
      </c>
      <c r="D50" s="20" t="s">
        <v>795</v>
      </c>
      <c r="E50" s="24"/>
    </row>
    <row r="51" spans="1:5" x14ac:dyDescent="0.3">
      <c r="A51" s="20" t="s">
        <v>812</v>
      </c>
      <c r="B51" s="20" t="s">
        <v>809</v>
      </c>
      <c r="C51" s="20" t="s">
        <v>766</v>
      </c>
      <c r="D51" s="20" t="s">
        <v>797</v>
      </c>
      <c r="E51" s="24"/>
    </row>
    <row r="52" spans="1:5" x14ac:dyDescent="0.3">
      <c r="A52" s="20" t="s">
        <v>813</v>
      </c>
      <c r="B52" s="20" t="s">
        <v>814</v>
      </c>
      <c r="C52" s="20" t="s">
        <v>766</v>
      </c>
      <c r="D52" s="20" t="s">
        <v>791</v>
      </c>
      <c r="E52" s="24"/>
    </row>
    <row r="53" spans="1:5" x14ac:dyDescent="0.3">
      <c r="A53" s="20" t="s">
        <v>815</v>
      </c>
      <c r="B53" s="20" t="s">
        <v>814</v>
      </c>
      <c r="C53" s="20" t="s">
        <v>766</v>
      </c>
      <c r="D53" s="20" t="s">
        <v>793</v>
      </c>
      <c r="E53" s="24"/>
    </row>
    <row r="54" spans="1:5" x14ac:dyDescent="0.3">
      <c r="A54" s="20" t="s">
        <v>816</v>
      </c>
      <c r="B54" s="20" t="s">
        <v>814</v>
      </c>
      <c r="C54" s="20" t="s">
        <v>766</v>
      </c>
      <c r="D54" s="20" t="s">
        <v>795</v>
      </c>
      <c r="E54" s="24"/>
    </row>
    <row r="55" spans="1:5" x14ac:dyDescent="0.3">
      <c r="A55" s="20" t="s">
        <v>817</v>
      </c>
      <c r="B55" s="20" t="s">
        <v>814</v>
      </c>
      <c r="C55" s="20" t="s">
        <v>766</v>
      </c>
      <c r="D55" s="20" t="s">
        <v>797</v>
      </c>
      <c r="E55" s="24"/>
    </row>
    <row r="56" spans="1:5" x14ac:dyDescent="0.3">
      <c r="A56" s="20" t="s">
        <v>818</v>
      </c>
      <c r="B56" s="20" t="s">
        <v>819</v>
      </c>
      <c r="C56" s="20" t="s">
        <v>766</v>
      </c>
      <c r="D56" s="20" t="s">
        <v>791</v>
      </c>
      <c r="E56" s="24"/>
    </row>
    <row r="57" spans="1:5" x14ac:dyDescent="0.3">
      <c r="A57" s="20" t="s">
        <v>820</v>
      </c>
      <c r="B57" s="20" t="s">
        <v>819</v>
      </c>
      <c r="C57" s="20" t="s">
        <v>766</v>
      </c>
      <c r="D57" s="20" t="s">
        <v>793</v>
      </c>
      <c r="E57" s="24"/>
    </row>
    <row r="58" spans="1:5" x14ac:dyDescent="0.3">
      <c r="A58" s="20" t="s">
        <v>821</v>
      </c>
      <c r="B58" s="20" t="s">
        <v>819</v>
      </c>
      <c r="C58" s="20" t="s">
        <v>766</v>
      </c>
      <c r="D58" s="20" t="s">
        <v>795</v>
      </c>
      <c r="E58" s="24"/>
    </row>
    <row r="59" spans="1:5" x14ac:dyDescent="0.3">
      <c r="A59" s="20" t="s">
        <v>822</v>
      </c>
      <c r="B59" s="20" t="s">
        <v>819</v>
      </c>
      <c r="C59" s="20" t="s">
        <v>766</v>
      </c>
      <c r="D59" s="20" t="s">
        <v>797</v>
      </c>
      <c r="E59" s="24"/>
    </row>
    <row r="60" spans="1:5" x14ac:dyDescent="0.3">
      <c r="A60" s="20" t="s">
        <v>823</v>
      </c>
      <c r="B60" s="20" t="s">
        <v>824</v>
      </c>
      <c r="C60" s="20" t="s">
        <v>766</v>
      </c>
      <c r="D60" s="20" t="s">
        <v>791</v>
      </c>
      <c r="E60" s="24"/>
    </row>
    <row r="61" spans="1:5" x14ac:dyDescent="0.3">
      <c r="A61" s="20" t="s">
        <v>825</v>
      </c>
      <c r="B61" s="20" t="s">
        <v>824</v>
      </c>
      <c r="C61" s="20" t="s">
        <v>766</v>
      </c>
      <c r="D61" s="20" t="s">
        <v>793</v>
      </c>
      <c r="E61" s="24"/>
    </row>
    <row r="62" spans="1:5" x14ac:dyDescent="0.3">
      <c r="A62" s="20" t="s">
        <v>826</v>
      </c>
      <c r="B62" s="20" t="s">
        <v>824</v>
      </c>
      <c r="C62" s="20" t="s">
        <v>766</v>
      </c>
      <c r="D62" s="20" t="s">
        <v>795</v>
      </c>
      <c r="E62" s="24"/>
    </row>
    <row r="63" spans="1:5" x14ac:dyDescent="0.3">
      <c r="A63" s="20" t="s">
        <v>827</v>
      </c>
      <c r="B63" s="20" t="s">
        <v>824</v>
      </c>
      <c r="C63" s="20" t="s">
        <v>766</v>
      </c>
      <c r="D63" s="20" t="s">
        <v>797</v>
      </c>
      <c r="E63" s="24"/>
    </row>
    <row r="64" spans="1:5" x14ac:dyDescent="0.3">
      <c r="A64" s="20" t="s">
        <v>828</v>
      </c>
      <c r="B64" s="20" t="s">
        <v>829</v>
      </c>
      <c r="C64" s="20" t="s">
        <v>766</v>
      </c>
      <c r="D64" s="20" t="s">
        <v>791</v>
      </c>
      <c r="E64" s="24"/>
    </row>
    <row r="65" spans="1:5" x14ac:dyDescent="0.3">
      <c r="A65" s="20" t="s">
        <v>830</v>
      </c>
      <c r="B65" s="20" t="s">
        <v>829</v>
      </c>
      <c r="C65" s="20" t="s">
        <v>766</v>
      </c>
      <c r="D65" s="20" t="s">
        <v>793</v>
      </c>
      <c r="E65" s="24"/>
    </row>
    <row r="66" spans="1:5" x14ac:dyDescent="0.3">
      <c r="A66" s="20" t="s">
        <v>831</v>
      </c>
      <c r="B66" s="20" t="s">
        <v>829</v>
      </c>
      <c r="C66" s="20" t="s">
        <v>766</v>
      </c>
      <c r="D66" s="20" t="s">
        <v>795</v>
      </c>
      <c r="E66" s="24"/>
    </row>
    <row r="67" spans="1:5" x14ac:dyDescent="0.3">
      <c r="A67" s="20" t="s">
        <v>832</v>
      </c>
      <c r="B67" s="20" t="s">
        <v>829</v>
      </c>
      <c r="C67" s="20" t="s">
        <v>766</v>
      </c>
      <c r="D67" s="20" t="s">
        <v>797</v>
      </c>
      <c r="E67" s="24"/>
    </row>
    <row r="68" spans="1:5" x14ac:dyDescent="0.3">
      <c r="A68" s="20" t="s">
        <v>833</v>
      </c>
      <c r="B68" s="20" t="s">
        <v>834</v>
      </c>
      <c r="C68" s="20" t="s">
        <v>766</v>
      </c>
      <c r="D68" s="20" t="s">
        <v>791</v>
      </c>
      <c r="E68" s="24"/>
    </row>
    <row r="69" spans="1:5" x14ac:dyDescent="0.3">
      <c r="A69" s="20" t="s">
        <v>835</v>
      </c>
      <c r="B69" s="20" t="s">
        <v>834</v>
      </c>
      <c r="C69" s="20" t="s">
        <v>766</v>
      </c>
      <c r="D69" s="20" t="s">
        <v>793</v>
      </c>
      <c r="E69" s="24"/>
    </row>
    <row r="70" spans="1:5" x14ac:dyDescent="0.3">
      <c r="A70" s="20" t="s">
        <v>836</v>
      </c>
      <c r="B70" s="20" t="s">
        <v>834</v>
      </c>
      <c r="C70" s="20" t="s">
        <v>766</v>
      </c>
      <c r="D70" s="20" t="s">
        <v>795</v>
      </c>
      <c r="E70" s="24"/>
    </row>
    <row r="71" spans="1:5" x14ac:dyDescent="0.3">
      <c r="A71" s="25" t="s">
        <v>837</v>
      </c>
      <c r="B71" s="25" t="s">
        <v>834</v>
      </c>
      <c r="C71" s="25" t="s">
        <v>766</v>
      </c>
      <c r="D71" s="25" t="s">
        <v>797</v>
      </c>
      <c r="E71" s="29"/>
    </row>
    <row r="72" spans="1:5" x14ac:dyDescent="0.3">
      <c r="A72" s="43" t="s">
        <v>219</v>
      </c>
      <c r="B72" s="44"/>
      <c r="C72" s="44"/>
      <c r="D72" s="44"/>
      <c r="E72" s="106"/>
    </row>
    <row r="74" spans="1:5" x14ac:dyDescent="0.3">
      <c r="A74" s="43" t="s">
        <v>838</v>
      </c>
      <c r="B74" s="44"/>
      <c r="C74" s="44"/>
      <c r="D74" s="44"/>
      <c r="E74" s="106"/>
    </row>
  </sheetData>
  <pageMargins left="0.7" right="0.7" top="0.75" bottom="0.75" header="0.3" footer="0.3"/>
  <pageSetup paperSize="9" scale="65" orientation="landscape" horizontalDpi="150" verticalDpi="0" r:id="rId1"/>
  <headerFooter>
    <oddFooter>&amp;LOns Middelbaar Onderwijs                                    
CONCEPT PER 01-01-2022&amp;ROpmaakdatum: 07-12-2021
Intexso - De Start 5 - Leusden
+31 (33) 2778485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FC5547E493C945A2F65B61B5E461F0" ma:contentTypeVersion="14" ma:contentTypeDescription="Een nieuw document maken." ma:contentTypeScope="" ma:versionID="2c40d6a7993def4d668e33a3d70c5f5c">
  <xsd:schema xmlns:xsd="http://www.w3.org/2001/XMLSchema" xmlns:xs="http://www.w3.org/2001/XMLSchema" xmlns:p="http://schemas.microsoft.com/office/2006/metadata/properties" xmlns:ns1="http://schemas.microsoft.com/sharepoint/v3" xmlns:ns2="6ed0541b-cb2b-4235-b290-540da7b5c814" xmlns:ns3="d53c3cd5-66ae-4a6a-a38f-0a937aa2f05e" targetNamespace="http://schemas.microsoft.com/office/2006/metadata/properties" ma:root="true" ma:fieldsID="a419e017d2bae9a48c7c2a6a5cf18b81" ns1:_="" ns2:_="" ns3:_="">
    <xsd:import namespace="http://schemas.microsoft.com/sharepoint/v3"/>
    <xsd:import namespace="6ed0541b-cb2b-4235-b290-540da7b5c814"/>
    <xsd:import namespace="d53c3cd5-66ae-4a6a-a38f-0a937aa2f0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0541b-cb2b-4235-b290-540da7b5c8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c3cd5-66ae-4a6a-a38f-0a937aa2f05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E0AEF8-AE10-45AF-BA9B-D0243C63E81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8BFCA30-849C-45C5-9C0C-C2F4BD5800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BEE3D9-02BA-4554-87A3-59CE1AEF9B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ed0541b-cb2b-4235-b290-540da7b5c814"/>
    <ds:schemaRef ds:uri="d53c3cd5-66ae-4a6a-a38f-0a937aa2f0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408</vt:i4>
      </vt:variant>
    </vt:vector>
  </HeadingPairs>
  <TitlesOfParts>
    <vt:vector size="419" baseType="lpstr">
      <vt:lpstr>Omreken</vt:lpstr>
      <vt:lpstr>Categorienormen</vt:lpstr>
      <vt:lpstr>Regulier werk</vt:lpstr>
      <vt:lpstr>Ruimten werkdag</vt:lpstr>
      <vt:lpstr>Objectinformatie</vt:lpstr>
      <vt:lpstr>Objecten</vt:lpstr>
      <vt:lpstr>Niet-meewerkende objectleiding</vt:lpstr>
      <vt:lpstr>Totaalblad Objecten</vt:lpstr>
      <vt:lpstr>Afroep incidenteel</vt:lpstr>
      <vt:lpstr>Regiewerk</vt:lpstr>
      <vt:lpstr>Totaal</vt:lpstr>
      <vt:lpstr>'Afroep incidenteel'!Afdruktitels</vt:lpstr>
      <vt:lpstr>Categorienormen!Afdruktitels</vt:lpstr>
      <vt:lpstr>'Niet-meewerkende objectleiding'!Afdruktitels</vt:lpstr>
      <vt:lpstr>Objecten!Afdruktitels</vt:lpstr>
      <vt:lpstr>Objectinformatie!Afdruktitels</vt:lpstr>
      <vt:lpstr>Regiewerk!Afdruktitels</vt:lpstr>
      <vt:lpstr>'Regulier werk'!Afdruktitels</vt:lpstr>
      <vt:lpstr>'Ruimten werkdag'!Afdruktitels</vt:lpstr>
      <vt:lpstr>Totaal!Afdruktitels</vt:lpstr>
      <vt:lpstr>'Totaalblad Objecten'!Afdruktitels</vt:lpstr>
      <vt:lpstr>catdw_1_BKHB_1</vt:lpstr>
      <vt:lpstr>catdw_1_BKHV_42</vt:lpstr>
      <vt:lpstr>catdw_1_BKZB_1</vt:lpstr>
      <vt:lpstr>catdw_1_BKZV_42</vt:lpstr>
      <vt:lpstr>catdw_1_GSHB_1</vt:lpstr>
      <vt:lpstr>catdw_1_GSHV_42</vt:lpstr>
      <vt:lpstr>catdw_1_GTHB_1</vt:lpstr>
      <vt:lpstr>catdw_1_GTHV_42</vt:lpstr>
      <vt:lpstr>catdw_1_KAHB_1</vt:lpstr>
      <vt:lpstr>catdw_1_KAHV_42</vt:lpstr>
      <vt:lpstr>catdw_1_KDHB_1</vt:lpstr>
      <vt:lpstr>catdw_1_KDHV_42</vt:lpstr>
      <vt:lpstr>catdw_1_KDZB_1</vt:lpstr>
      <vt:lpstr>catdw_1_KDZV_42</vt:lpstr>
      <vt:lpstr>catdw_1_KKHB_1</vt:lpstr>
      <vt:lpstr>catdw_1_KKHV_42</vt:lpstr>
      <vt:lpstr>catdw_1_LLHB_1</vt:lpstr>
      <vt:lpstr>catdw_1_LLHV_42</vt:lpstr>
      <vt:lpstr>catdw_1_LLZB_1</vt:lpstr>
      <vt:lpstr>catdw_1_LLZV_42</vt:lpstr>
      <vt:lpstr>catdw_1_LOHB_1</vt:lpstr>
      <vt:lpstr>catdw_1_LOHV_42</vt:lpstr>
      <vt:lpstr>catdw_1_MAHB_1</vt:lpstr>
      <vt:lpstr>catdw_1_MAHV_42</vt:lpstr>
      <vt:lpstr>catdw_1_OAHB_1</vt:lpstr>
      <vt:lpstr>catdw_1_OAHV_42</vt:lpstr>
      <vt:lpstr>catdw_1_PAHB_1</vt:lpstr>
      <vt:lpstr>catdw_1_PAHV_42</vt:lpstr>
      <vt:lpstr>catdw_1_PKHB_1</vt:lpstr>
      <vt:lpstr>catdw_1_PKHV_42</vt:lpstr>
      <vt:lpstr>catdw_1_PLHB_1</vt:lpstr>
      <vt:lpstr>catdw_1_PLHV_42</vt:lpstr>
      <vt:lpstr>catdw_1_PSHB_1</vt:lpstr>
      <vt:lpstr>catdw_1_PSHV_42</vt:lpstr>
      <vt:lpstr>catdw_1_PWHB_1</vt:lpstr>
      <vt:lpstr>catdw_1_PWHV_42</vt:lpstr>
      <vt:lpstr>catdw_1_SDHB_1</vt:lpstr>
      <vt:lpstr>catdw_1_SDHV_42</vt:lpstr>
      <vt:lpstr>catdw_1_SKHB_1</vt:lpstr>
      <vt:lpstr>catdw_1_SKHV_42</vt:lpstr>
      <vt:lpstr>catdw_1_STHB_1</vt:lpstr>
      <vt:lpstr>catdw_1_STHV_42</vt:lpstr>
      <vt:lpstr>catdw_1_SWHB_1</vt:lpstr>
      <vt:lpstr>catdw_1_SWHV_42</vt:lpstr>
      <vt:lpstr>catdw_1_VAHB_1</vt:lpstr>
      <vt:lpstr>catdw_1_VAHV_42</vt:lpstr>
      <vt:lpstr>catdw_1_VAZB_1</vt:lpstr>
      <vt:lpstr>catdw_1_VAZV_42</vt:lpstr>
      <vt:lpstr>catdw_1_VEZB_1</vt:lpstr>
      <vt:lpstr>catdw_1_VEZV_42</vt:lpstr>
      <vt:lpstr>catdw_1_VOHB_1</vt:lpstr>
      <vt:lpstr>catdw_1_VOHV_42</vt:lpstr>
      <vt:lpstr>catdw_1_VOZB_1</vt:lpstr>
      <vt:lpstr>catdw_1_VOZV_42</vt:lpstr>
      <vt:lpstr>catdw_1_VTHB_1</vt:lpstr>
      <vt:lpstr>catdw_1_VTHV_42</vt:lpstr>
      <vt:lpstr>catfd_1_BKHB_1</vt:lpstr>
      <vt:lpstr>catfd_1_BKHV_42</vt:lpstr>
      <vt:lpstr>catfd_1_BKZB_1</vt:lpstr>
      <vt:lpstr>catfd_1_BKZV_42</vt:lpstr>
      <vt:lpstr>catfd_1_GSHB_1</vt:lpstr>
      <vt:lpstr>catfd_1_GSHV_42</vt:lpstr>
      <vt:lpstr>catfd_1_GTHB_1</vt:lpstr>
      <vt:lpstr>catfd_1_GTHV_42</vt:lpstr>
      <vt:lpstr>catfd_1_KAHB_1</vt:lpstr>
      <vt:lpstr>catfd_1_KAHV_42</vt:lpstr>
      <vt:lpstr>catfd_1_KDHB_1</vt:lpstr>
      <vt:lpstr>catfd_1_KDHV_42</vt:lpstr>
      <vt:lpstr>catfd_1_KDZB_1</vt:lpstr>
      <vt:lpstr>catfd_1_KDZV_42</vt:lpstr>
      <vt:lpstr>catfd_1_KKHB_1</vt:lpstr>
      <vt:lpstr>catfd_1_KKHV_42</vt:lpstr>
      <vt:lpstr>catfd_1_LLHB_1</vt:lpstr>
      <vt:lpstr>catfd_1_LLHV_42</vt:lpstr>
      <vt:lpstr>catfd_1_LLZB_1</vt:lpstr>
      <vt:lpstr>catfd_1_LLZV_42</vt:lpstr>
      <vt:lpstr>catfd_1_LOHB_1</vt:lpstr>
      <vt:lpstr>catfd_1_LOHV_42</vt:lpstr>
      <vt:lpstr>catfd_1_MAHB_1</vt:lpstr>
      <vt:lpstr>catfd_1_MAHV_42</vt:lpstr>
      <vt:lpstr>catfd_1_OAHB_1</vt:lpstr>
      <vt:lpstr>catfd_1_OAHV_42</vt:lpstr>
      <vt:lpstr>catfd_1_PAHB_1</vt:lpstr>
      <vt:lpstr>catfd_1_PAHV_42</vt:lpstr>
      <vt:lpstr>catfd_1_PKHB_1</vt:lpstr>
      <vt:lpstr>catfd_1_PKHV_42</vt:lpstr>
      <vt:lpstr>catfd_1_PLHB_1</vt:lpstr>
      <vt:lpstr>catfd_1_PLHV_42</vt:lpstr>
      <vt:lpstr>catfd_1_PSHB_1</vt:lpstr>
      <vt:lpstr>catfd_1_PSHV_42</vt:lpstr>
      <vt:lpstr>catfd_1_PWHB_1</vt:lpstr>
      <vt:lpstr>catfd_1_PWHV_42</vt:lpstr>
      <vt:lpstr>catfd_1_SDHB_1</vt:lpstr>
      <vt:lpstr>catfd_1_SDHV_42</vt:lpstr>
      <vt:lpstr>catfd_1_SKHB_1</vt:lpstr>
      <vt:lpstr>catfd_1_SKHV_42</vt:lpstr>
      <vt:lpstr>catfd_1_STHB_1</vt:lpstr>
      <vt:lpstr>catfd_1_STHV_42</vt:lpstr>
      <vt:lpstr>catfd_1_SWHB_1</vt:lpstr>
      <vt:lpstr>catfd_1_SWHV_42</vt:lpstr>
      <vt:lpstr>catfd_1_VAHB_1</vt:lpstr>
      <vt:lpstr>catfd_1_VAHV_42</vt:lpstr>
      <vt:lpstr>catfd_1_VAZB_1</vt:lpstr>
      <vt:lpstr>catfd_1_VAZV_42</vt:lpstr>
      <vt:lpstr>catfd_1_VEZB_1</vt:lpstr>
      <vt:lpstr>catfd_1_VEZV_42</vt:lpstr>
      <vt:lpstr>catfd_1_VOHB_1</vt:lpstr>
      <vt:lpstr>catfd_1_VOHV_42</vt:lpstr>
      <vt:lpstr>catfd_1_VOZB_1</vt:lpstr>
      <vt:lpstr>catfd_1_VOZV_42</vt:lpstr>
      <vt:lpstr>catfd_1_VTHB_1</vt:lpstr>
      <vt:lpstr>catfd_1_VTHV_42</vt:lpstr>
      <vt:lpstr>catpn_1_BKHB_1</vt:lpstr>
      <vt:lpstr>catpn_1_BKHV_42</vt:lpstr>
      <vt:lpstr>catpn_1_BKZB_1</vt:lpstr>
      <vt:lpstr>catpn_1_BKZV_42</vt:lpstr>
      <vt:lpstr>catpn_1_GSHB_1</vt:lpstr>
      <vt:lpstr>catpn_1_GSHV_42</vt:lpstr>
      <vt:lpstr>catpn_1_GTHB_1</vt:lpstr>
      <vt:lpstr>catpn_1_GTHV_42</vt:lpstr>
      <vt:lpstr>catpn_1_KAHB_1</vt:lpstr>
      <vt:lpstr>catpn_1_KAHV_42</vt:lpstr>
      <vt:lpstr>catpn_1_KDHB_1</vt:lpstr>
      <vt:lpstr>catpn_1_KDHV_42</vt:lpstr>
      <vt:lpstr>catpn_1_KDZB_1</vt:lpstr>
      <vt:lpstr>catpn_1_KDZV_42</vt:lpstr>
      <vt:lpstr>catpn_1_KKHB_1</vt:lpstr>
      <vt:lpstr>catpn_1_KKHV_42</vt:lpstr>
      <vt:lpstr>catpn_1_LLHB_1</vt:lpstr>
      <vt:lpstr>catpn_1_LLHV_42</vt:lpstr>
      <vt:lpstr>catpn_1_LLZB_1</vt:lpstr>
      <vt:lpstr>catpn_1_LLZV_42</vt:lpstr>
      <vt:lpstr>catpn_1_LOHB_1</vt:lpstr>
      <vt:lpstr>catpn_1_LOHV_42</vt:lpstr>
      <vt:lpstr>catpn_1_MAHB_1</vt:lpstr>
      <vt:lpstr>catpn_1_MAHV_42</vt:lpstr>
      <vt:lpstr>catpn_1_OAHB_1</vt:lpstr>
      <vt:lpstr>catpn_1_OAHV_42</vt:lpstr>
      <vt:lpstr>catpn_1_PAHB_1</vt:lpstr>
      <vt:lpstr>catpn_1_PAHV_42</vt:lpstr>
      <vt:lpstr>catpn_1_PKHB_1</vt:lpstr>
      <vt:lpstr>catpn_1_PKHV_42</vt:lpstr>
      <vt:lpstr>catpn_1_PLHB_1</vt:lpstr>
      <vt:lpstr>catpn_1_PLHV_42</vt:lpstr>
      <vt:lpstr>catpn_1_PSHB_1</vt:lpstr>
      <vt:lpstr>catpn_1_PSHV_42</vt:lpstr>
      <vt:lpstr>catpn_1_PWHB_1</vt:lpstr>
      <vt:lpstr>catpn_1_PWHV_42</vt:lpstr>
      <vt:lpstr>catpn_1_SDHB_1</vt:lpstr>
      <vt:lpstr>catpn_1_SDHV_42</vt:lpstr>
      <vt:lpstr>catpn_1_SKHB_1</vt:lpstr>
      <vt:lpstr>catpn_1_SKHV_42</vt:lpstr>
      <vt:lpstr>catpn_1_STHB_1</vt:lpstr>
      <vt:lpstr>catpn_1_STHV_42</vt:lpstr>
      <vt:lpstr>catpn_1_SWHB_1</vt:lpstr>
      <vt:lpstr>catpn_1_SWHV_42</vt:lpstr>
      <vt:lpstr>catpn_1_VAHB_1</vt:lpstr>
      <vt:lpstr>catpn_1_VAHV_42</vt:lpstr>
      <vt:lpstr>catpn_1_VAZB_1</vt:lpstr>
      <vt:lpstr>catpn_1_VAZV_42</vt:lpstr>
      <vt:lpstr>catpn_1_VEZB_1</vt:lpstr>
      <vt:lpstr>catpn_1_VEZV_42</vt:lpstr>
      <vt:lpstr>catpn_1_VOHB_1</vt:lpstr>
      <vt:lpstr>catpn_1_VOHV_42</vt:lpstr>
      <vt:lpstr>catpn_1_VOZB_1</vt:lpstr>
      <vt:lpstr>catpn_1_VOZV_42</vt:lpstr>
      <vt:lpstr>catpn_1_VTHB_1</vt:lpstr>
      <vt:lpstr>catpn_1_VTHV_42</vt:lpstr>
      <vt:lpstr>cattf_1_BKHB_1</vt:lpstr>
      <vt:lpstr>cattf_1_BKHV_42</vt:lpstr>
      <vt:lpstr>cattf_1_BKZB_1</vt:lpstr>
      <vt:lpstr>cattf_1_BKZV_42</vt:lpstr>
      <vt:lpstr>cattf_1_GSHB_1</vt:lpstr>
      <vt:lpstr>cattf_1_GSHV_42</vt:lpstr>
      <vt:lpstr>cattf_1_GTHB_1</vt:lpstr>
      <vt:lpstr>cattf_1_GTHV_42</vt:lpstr>
      <vt:lpstr>cattf_1_KAHB_1</vt:lpstr>
      <vt:lpstr>cattf_1_KAHV_42</vt:lpstr>
      <vt:lpstr>cattf_1_KDHB_1</vt:lpstr>
      <vt:lpstr>cattf_1_KDHV_42</vt:lpstr>
      <vt:lpstr>cattf_1_KDZB_1</vt:lpstr>
      <vt:lpstr>cattf_1_KDZV_42</vt:lpstr>
      <vt:lpstr>cattf_1_KKHB_1</vt:lpstr>
      <vt:lpstr>cattf_1_KKHV_42</vt:lpstr>
      <vt:lpstr>cattf_1_LLHB_1</vt:lpstr>
      <vt:lpstr>cattf_1_LLHV_42</vt:lpstr>
      <vt:lpstr>cattf_1_LLZB_1</vt:lpstr>
      <vt:lpstr>cattf_1_LLZV_42</vt:lpstr>
      <vt:lpstr>cattf_1_LOHB_1</vt:lpstr>
      <vt:lpstr>cattf_1_LOHV_42</vt:lpstr>
      <vt:lpstr>cattf_1_MAHB_1</vt:lpstr>
      <vt:lpstr>cattf_1_MAHV_42</vt:lpstr>
      <vt:lpstr>cattf_1_OAHB_1</vt:lpstr>
      <vt:lpstr>cattf_1_OAHV_42</vt:lpstr>
      <vt:lpstr>cattf_1_PAHB_1</vt:lpstr>
      <vt:lpstr>cattf_1_PAHV_42</vt:lpstr>
      <vt:lpstr>cattf_1_PKHB_1</vt:lpstr>
      <vt:lpstr>cattf_1_PKHV_42</vt:lpstr>
      <vt:lpstr>cattf_1_PLHB_1</vt:lpstr>
      <vt:lpstr>cattf_1_PLHV_42</vt:lpstr>
      <vt:lpstr>cattf_1_PSHB_1</vt:lpstr>
      <vt:lpstr>cattf_1_PSHV_42</vt:lpstr>
      <vt:lpstr>cattf_1_PWHB_1</vt:lpstr>
      <vt:lpstr>cattf_1_PWHV_42</vt:lpstr>
      <vt:lpstr>cattf_1_SDHB_1</vt:lpstr>
      <vt:lpstr>cattf_1_SDHV_42</vt:lpstr>
      <vt:lpstr>cattf_1_SKHB_1</vt:lpstr>
      <vt:lpstr>cattf_1_SKHV_42</vt:lpstr>
      <vt:lpstr>cattf_1_STHB_1</vt:lpstr>
      <vt:lpstr>cattf_1_STHV_42</vt:lpstr>
      <vt:lpstr>cattf_1_SWHB_1</vt:lpstr>
      <vt:lpstr>cattf_1_SWHV_42</vt:lpstr>
      <vt:lpstr>cattf_1_VAHB_1</vt:lpstr>
      <vt:lpstr>cattf_1_VAHV_42</vt:lpstr>
      <vt:lpstr>cattf_1_VAZB_1</vt:lpstr>
      <vt:lpstr>cattf_1_VAZV_42</vt:lpstr>
      <vt:lpstr>cattf_1_VEZB_1</vt:lpstr>
      <vt:lpstr>cattf_1_VEZV_42</vt:lpstr>
      <vt:lpstr>cattf_1_VOHB_1</vt:lpstr>
      <vt:lpstr>cattf_1_VOHV_42</vt:lpstr>
      <vt:lpstr>cattf_1_VOZB_1</vt:lpstr>
      <vt:lpstr>cattf_1_VOZV_42</vt:lpstr>
      <vt:lpstr>cattf_1_VTHB_1</vt:lpstr>
      <vt:lpstr>cattf_1_VTHV_42</vt:lpstr>
      <vt:lpstr>dagenperjaar1</vt:lpstr>
      <vt:lpstr>dagenperjaar2</vt:lpstr>
      <vt:lpstr>dagenperjaar3</vt:lpstr>
      <vt:lpstr>dagenperweek1</vt:lpstr>
      <vt:lpstr>dagenperweek2</vt:lpstr>
      <vt:lpstr>dagenperweek3</vt:lpstr>
      <vt:lpstr>dagsoorttabel1</vt:lpstr>
      <vt:lpstr>dagsoorttabel2</vt:lpstr>
      <vt:lpstr>dagsoorttabel3</vt:lpstr>
      <vt:lpstr>dagwerk1</vt:lpstr>
      <vt:lpstr>dagwerk10</vt:lpstr>
      <vt:lpstr>dagwerk11</vt:lpstr>
      <vt:lpstr>dagwerk12</vt:lpstr>
      <vt:lpstr>dagwerk13</vt:lpstr>
      <vt:lpstr>dagwerk14</vt:lpstr>
      <vt:lpstr>dagwerk15</vt:lpstr>
      <vt:lpstr>dagwerk16</vt:lpstr>
      <vt:lpstr>dagwerk17</vt:lpstr>
      <vt:lpstr>dagwerk18</vt:lpstr>
      <vt:lpstr>dagwerk19</vt:lpstr>
      <vt:lpstr>dagwerk2</vt:lpstr>
      <vt:lpstr>dagwerk20</vt:lpstr>
      <vt:lpstr>dagwerk21</vt:lpstr>
      <vt:lpstr>dagwerk22</vt:lpstr>
      <vt:lpstr>dagwerk23</vt:lpstr>
      <vt:lpstr>dagwerk24</vt:lpstr>
      <vt:lpstr>dagwerk25</vt:lpstr>
      <vt:lpstr>dagwerk26</vt:lpstr>
      <vt:lpstr>dagwerk27</vt:lpstr>
      <vt:lpstr>dagwerk28</vt:lpstr>
      <vt:lpstr>dagwerk29</vt:lpstr>
      <vt:lpstr>dagwerk3</vt:lpstr>
      <vt:lpstr>dagwerk30</vt:lpstr>
      <vt:lpstr>dagwerk31</vt:lpstr>
      <vt:lpstr>dagwerk4</vt:lpstr>
      <vt:lpstr>dagwerk5</vt:lpstr>
      <vt:lpstr>dagwerk6</vt:lpstr>
      <vt:lpstr>dagwerk7</vt:lpstr>
      <vt:lpstr>dagwerk8</vt:lpstr>
      <vt:lpstr>dagwerk9</vt:lpstr>
      <vt:lpstr>dagwerktabel1</vt:lpstr>
      <vt:lpstr>gemuurtarief1</vt:lpstr>
      <vt:lpstr>kengetaltabel1</vt:lpstr>
      <vt:lpstr>object1_gemuurtarief1</vt:lpstr>
      <vt:lpstr>object1_opptabel1</vt:lpstr>
      <vt:lpstr>object1_prijsdag1</vt:lpstr>
      <vt:lpstr>object1_prijsjaar1</vt:lpstr>
      <vt:lpstr>object1_urendag1</vt:lpstr>
      <vt:lpstr>object1_urendaghf1</vt:lpstr>
      <vt:lpstr>object1_urenjaar1</vt:lpstr>
      <vt:lpstr>object2_gemuurtarief1</vt:lpstr>
      <vt:lpstr>object2_opptabel1</vt:lpstr>
      <vt:lpstr>object2_prijsdag1</vt:lpstr>
      <vt:lpstr>object2_prijsjaar1</vt:lpstr>
      <vt:lpstr>object2_urendag1</vt:lpstr>
      <vt:lpstr>object2_urendaghf1</vt:lpstr>
      <vt:lpstr>object2_urenjaar1</vt:lpstr>
      <vt:lpstr>object3_gemuurtarief1</vt:lpstr>
      <vt:lpstr>object3_opptabel1</vt:lpstr>
      <vt:lpstr>object3_prijsdag1</vt:lpstr>
      <vt:lpstr>object3_prijsjaar1</vt:lpstr>
      <vt:lpstr>object3_urendag1</vt:lpstr>
      <vt:lpstr>object3_urendaghf1</vt:lpstr>
      <vt:lpstr>object3_urenjaar1</vt:lpstr>
      <vt:lpstr>objectprijs1_1</vt:lpstr>
      <vt:lpstr>objectprijs2_1</vt:lpstr>
      <vt:lpstr>objectprijs3_1</vt:lpstr>
      <vt:lpstr>objecturen1_1</vt:lpstr>
      <vt:lpstr>objecturen2_1</vt:lpstr>
      <vt:lpstr>objecturen3_1</vt:lpstr>
      <vt:lpstr>objecturenhf1_1</vt:lpstr>
      <vt:lpstr>objecturenhf2_1</vt:lpstr>
      <vt:lpstr>objecturenhf3_1</vt:lpstr>
      <vt:lpstr>prijsdag1</vt:lpstr>
      <vt:lpstr>prijsjaar</vt:lpstr>
      <vt:lpstr>prijsjaar1</vt:lpstr>
      <vt:lpstr>prijsjaarnietmeewerkend</vt:lpstr>
      <vt:lpstr>prijsjaarregie</vt:lpstr>
      <vt:lpstr>prijsjaarregie1</vt:lpstr>
      <vt:lpstr>prijsjaartotaal</vt:lpstr>
      <vt:lpstr>prijsjaartotaal1</vt:lpstr>
      <vt:lpstr>prijsjaartotaaloverzicht</vt:lpstr>
      <vt:lpstr>prijsmaandtotaal1</vt:lpstr>
      <vt:lpstr>prodnorm1</vt:lpstr>
      <vt:lpstr>prodnorm10</vt:lpstr>
      <vt:lpstr>prodnorm11</vt:lpstr>
      <vt:lpstr>prodnorm12</vt:lpstr>
      <vt:lpstr>prodnorm13</vt:lpstr>
      <vt:lpstr>prodnorm14</vt:lpstr>
      <vt:lpstr>prodnorm15</vt:lpstr>
      <vt:lpstr>prodnorm16</vt:lpstr>
      <vt:lpstr>prodnorm17</vt:lpstr>
      <vt:lpstr>prodnorm18</vt:lpstr>
      <vt:lpstr>prodnorm19</vt:lpstr>
      <vt:lpstr>prodnorm2</vt:lpstr>
      <vt:lpstr>prodnorm20</vt:lpstr>
      <vt:lpstr>prodnorm21</vt:lpstr>
      <vt:lpstr>prodnorm22</vt:lpstr>
      <vt:lpstr>prodnorm23</vt:lpstr>
      <vt:lpstr>prodnorm24</vt:lpstr>
      <vt:lpstr>prodnorm25</vt:lpstr>
      <vt:lpstr>prodnorm26</vt:lpstr>
      <vt:lpstr>prodnorm27</vt:lpstr>
      <vt:lpstr>prodnorm28</vt:lpstr>
      <vt:lpstr>prodnorm29</vt:lpstr>
      <vt:lpstr>prodnorm3</vt:lpstr>
      <vt:lpstr>prodnorm30</vt:lpstr>
      <vt:lpstr>prodnorm31</vt:lpstr>
      <vt:lpstr>prodnorm4</vt:lpstr>
      <vt:lpstr>prodnorm5</vt:lpstr>
      <vt:lpstr>prodnorm6</vt:lpstr>
      <vt:lpstr>prodnorm7</vt:lpstr>
      <vt:lpstr>prodnorm8</vt:lpstr>
      <vt:lpstr>prodnorm9</vt:lpstr>
      <vt:lpstr>taakfreqtabel1</vt:lpstr>
      <vt:lpstr>tabeltype</vt:lpstr>
      <vt:lpstr>tarieftabel1</vt:lpstr>
      <vt:lpstr>tzpjt1</vt:lpstr>
      <vt:lpstr>tzpjt1_1</vt:lpstr>
      <vt:lpstr>tzpjt2_1</vt:lpstr>
      <vt:lpstr>tzpjt3_1</vt:lpstr>
      <vt:lpstr>tzpmt1</vt:lpstr>
      <vt:lpstr>tzpmt1_1</vt:lpstr>
      <vt:lpstr>tzpmt2_1</vt:lpstr>
      <vt:lpstr>tzpmt3_1</vt:lpstr>
      <vt:lpstr>tzujt1</vt:lpstr>
      <vt:lpstr>tzujt1_1</vt:lpstr>
      <vt:lpstr>tzujt2_1</vt:lpstr>
      <vt:lpstr>tzujt3_1</vt:lpstr>
      <vt:lpstr>urendag1</vt:lpstr>
      <vt:lpstr>urenjaar</vt:lpstr>
      <vt:lpstr>urenjaar1</vt:lpstr>
      <vt:lpstr>urenjaarnietmeewerkend</vt:lpstr>
      <vt:lpstr>urenjaartotaal</vt:lpstr>
      <vt:lpstr>urenjaartotaal1</vt:lpstr>
      <vt:lpstr>urenjaartotaalhf</vt:lpstr>
      <vt:lpstr>urenjaartotaalhf1</vt:lpstr>
      <vt:lpstr>urenjaartotaaloverzicht</vt:lpstr>
      <vt:lpstr>urenjaartotaaloverzichthf</vt:lpstr>
      <vt:lpstr>uurfactortabel1</vt:lpstr>
      <vt:lpstr>uurtarief1</vt:lpstr>
      <vt:lpstr>uurtarief10</vt:lpstr>
      <vt:lpstr>uurtarief11</vt:lpstr>
      <vt:lpstr>uurtarief12</vt:lpstr>
      <vt:lpstr>uurtarief13</vt:lpstr>
      <vt:lpstr>uurtarief14</vt:lpstr>
      <vt:lpstr>uurtarief15</vt:lpstr>
      <vt:lpstr>uurtarief16</vt:lpstr>
      <vt:lpstr>uurtarief17</vt:lpstr>
      <vt:lpstr>uurtarief18</vt:lpstr>
      <vt:lpstr>uurtarief19</vt:lpstr>
      <vt:lpstr>uurtarief2</vt:lpstr>
      <vt:lpstr>uurtarief20</vt:lpstr>
      <vt:lpstr>uurtarief21</vt:lpstr>
      <vt:lpstr>uurtarief22</vt:lpstr>
      <vt:lpstr>uurtarief23</vt:lpstr>
      <vt:lpstr>uurtarief24</vt:lpstr>
      <vt:lpstr>uurtarief25</vt:lpstr>
      <vt:lpstr>uurtarief26</vt:lpstr>
      <vt:lpstr>uurtarief27</vt:lpstr>
      <vt:lpstr>uurtarief28</vt:lpstr>
      <vt:lpstr>uurtarief29</vt:lpstr>
      <vt:lpstr>uurtarief3</vt:lpstr>
      <vt:lpstr>uurtarief30</vt:lpstr>
      <vt:lpstr>uurtarief31</vt:lpstr>
      <vt:lpstr>uurtarief4</vt:lpstr>
      <vt:lpstr>uurtarief5</vt:lpstr>
      <vt:lpstr>uurtarief6</vt:lpstr>
      <vt:lpstr>uurtarief7</vt:lpstr>
      <vt:lpstr>uurtarief8</vt:lpstr>
      <vt:lpstr>uurtarief9</vt:lpstr>
      <vt:lpstr>vp_leiding</vt:lpstr>
      <vt:lpstr>vp_regie</vt:lpstr>
      <vt:lpstr>vp_regulier</vt:lpstr>
    </vt:vector>
  </TitlesOfParts>
  <Company>Intexso Adviesbureau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Anna Krijnen</cp:lastModifiedBy>
  <dcterms:created xsi:type="dcterms:W3CDTF">2021-12-07T12:59:42Z</dcterms:created>
  <dcterms:modified xsi:type="dcterms:W3CDTF">2021-12-16T09:03:01Z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0x01010004FC5547E493C945A2F65B61B5E461F0</vt:lpwstr>
  </property>
</Properties>
</file>